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11.xml" ContentType="application/vnd.openxmlformats-officedocument.drawingml.chartshapes+xml"/>
  <Override PartName="/xl/drawings/drawing15.xml" ContentType="application/vnd.openxmlformats-officedocument.drawingml.chartshapes+xml"/>
  <Override PartName="/xl/drawings/drawing2.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Ex1.xml" ContentType="application/vnd.ms-office.chartex+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Ex2.xml" ContentType="application/vnd.ms-office.chartex+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Ex4.xml" ContentType="application/vnd.ms-office.chartex+xml"/>
  <Override PartName="/xl/charts/style20.xml" ContentType="application/vnd.ms-office.chartstyle+xml"/>
  <Override PartName="/xl/charts/colors20.xml" ContentType="application/vnd.ms-office.chartcolorstyle+xml"/>
  <Override PartName="/xl/charts/chartEx5.xml" ContentType="application/vnd.ms-office.chartex+xml"/>
  <Override PartName="/xl/charts/style21.xml" ContentType="application/vnd.ms-office.chartstyle+xml"/>
  <Override PartName="/xl/charts/colors21.xml" ContentType="application/vnd.ms-office.chartcolorstyle+xml"/>
  <Override PartName="/xl/drawings/drawing10.xml" ContentType="application/vnd.openxmlformats-officedocument.drawing+xml"/>
  <Override PartName="/xl/charts/chart18.xml" ContentType="application/vnd.openxmlformats-officedocument.drawingml.chart+xml"/>
  <Override PartName="/xl/charts/style22.xml" ContentType="application/vnd.ms-office.chartstyle+xml"/>
  <Override PartName="/xl/charts/colors22.xml" ContentType="application/vnd.ms-office.chartcolorstyle+xml"/>
  <Override PartName="/xl/charts/chart19.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22.xml" ContentType="application/vnd.openxmlformats-officedocument.drawingml.chart+xml"/>
  <Override PartName="/xl/theme/themeOverride1.xml" ContentType="application/vnd.openxmlformats-officedocument.themeOverride+xml"/>
  <Override PartName="/xl/drawings/drawing22.xml" ContentType="application/vnd.openxmlformats-officedocument.drawing+xml"/>
  <Override PartName="/xl/charts/chart23.xml" ContentType="application/vnd.openxmlformats-officedocument.drawingml.chart+xml"/>
  <Override PartName="/xl/theme/themeOverride2.xml" ContentType="application/vnd.openxmlformats-officedocument.themeOverride+xml"/>
  <Override PartName="/xl/drawings/drawing23.xml" ContentType="application/vnd.openxmlformats-officedocument.drawing+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xml" ContentType="application/vnd.openxmlformats-officedocument.spreadsheetml.table+xml"/>
  <Override PartName="/xl/tables/table10.xml" ContentType="application/vnd.openxmlformats-officedocument.spreadsheetml.table+xml"/>
  <Override PartName="/docProps/custom.xml" ContentType="application/vnd.openxmlformats-officedocument.custom-properties+xml"/>
  <Override PartName="/xl/tables/table14.xml" ContentType="application/vnd.openxmlformats-officedocument.spreadsheetml.table+xml"/>
  <Override PartName="/xl/tables/table13.xml" ContentType="application/vnd.openxmlformats-officedocument.spreadsheetml.table+xml"/>
  <Override PartName="/xl/tables/table18.xml" ContentType="application/vnd.openxmlformats-officedocument.spreadsheetml.table+xml"/>
  <Override PartName="/xl/tables/table12.xml" ContentType="application/vnd.openxmlformats-officedocument.spreadsheetml.table+xml"/>
  <Override PartName="/xl/tables/table19.xml" ContentType="application/vnd.openxmlformats-officedocument.spreadsheetml.table+xml"/>
  <Override PartName="/xl/tables/table22.xml" ContentType="application/vnd.openxmlformats-officedocument.spreadsheetml.table+xml"/>
  <Override PartName="/xl/tables/table9.xml" ContentType="application/vnd.openxmlformats-officedocument.spreadsheetml.table+xml"/>
  <Override PartName="/xl/tables/table23.xml" ContentType="application/vnd.openxmlformats-officedocument.spreadsheetml.table+xml"/>
  <Override PartName="/xl/tables/table16.xml" ContentType="application/vnd.openxmlformats-officedocument.spreadsheetml.table+xml"/>
  <Override PartName="/xl/tables/table24.xml" ContentType="application/vnd.openxmlformats-officedocument.spreadsheetml.table+xml"/>
  <Override PartName="/xl/tables/table17.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https://aphcr.sharepoint.com/sites/Website/Shared Documents/docs/"/>
    </mc:Choice>
  </mc:AlternateContent>
  <xr:revisionPtr revIDLastSave="0" documentId="8_{C3217213-CE2F-4767-812D-9FB4CD145190}" xr6:coauthVersionLast="47" xr6:coauthVersionMax="47" xr10:uidLastSave="{00000000-0000-0000-0000-000000000000}"/>
  <bookViews>
    <workbookView xWindow="4545" yWindow="4545" windowWidth="28800" windowHeight="15345" tabRatio="816" xr2:uid="{0B0A4D73-767B-4BBB-BC7E-CBB1C355A519}"/>
  </bookViews>
  <sheets>
    <sheet name="QuickStart" sheetId="22" r:id="rId1"/>
    <sheet name="Features" sheetId="9" r:id="rId2"/>
    <sheet name="Text &amp; Lists" sheetId="10" r:id="rId3"/>
    <sheet name="Tables" sheetId="21" r:id="rId4"/>
    <sheet name="Dest" sheetId="2" r:id="rId5"/>
    <sheet name="Flex" sheetId="25" r:id="rId6"/>
    <sheet name="Image" sheetId="1" r:id="rId7"/>
    <sheet name="Charts" sheetId="19" r:id="rId8"/>
    <sheet name="Chart Img" sheetId="8" r:id="rId9"/>
    <sheet name="Pivot" sheetId="23" r:id="rId10"/>
    <sheet name="Shapes" sheetId="24" r:id="rId11"/>
    <sheet name="Sel Img" sheetId="27" r:id="rId12"/>
    <sheet name="HTML" sheetId="16" r:id="rId13"/>
    <sheet name="Conditional Content" sheetId="17" r:id="rId14"/>
    <sheet name="Auto-Hide" sheetId="28" r:id="rId15"/>
    <sheet name="E2E" sheetId="29" r:id="rId16"/>
    <sheet name="Mail Merge" sheetId="6" r:id="rId17"/>
    <sheet name="Conditional Submit" sheetId="18" r:id="rId18"/>
    <sheet name="Currency" sheetId="4" r:id="rId19"/>
    <sheet name="Language" sheetId="5" r:id="rId20"/>
    <sheet name="Misc" sheetId="11" r:id="rId21"/>
  </sheets>
  <definedNames>
    <definedName name="_Order1" hidden="1">0</definedName>
    <definedName name="_xlchart.v1.0" hidden="1">Charts!$B$215:$B$222</definedName>
    <definedName name="_xlchart.v1.1" hidden="1">Charts!$C$214</definedName>
    <definedName name="_xlchart.v1.10" hidden="1">Charts!$B$150:$D$165</definedName>
    <definedName name="_xlchart.v1.11" hidden="1">Charts!$E$149</definedName>
    <definedName name="_xlchart.v1.12" hidden="1">Charts!$E$150:$E$165</definedName>
    <definedName name="_xlchart.v1.13" hidden="1">Charts!$B$129:$D$144</definedName>
    <definedName name="_xlchart.v1.14" hidden="1">Charts!$E$128</definedName>
    <definedName name="_xlchart.v1.15" hidden="1">Charts!$E$129:$E$144</definedName>
    <definedName name="_xlchart.v1.2" hidden="1">Charts!$C$215:$C$222</definedName>
    <definedName name="_xlchart.v1.3" hidden="1">Charts!$B$171:$B$192</definedName>
    <definedName name="_xlchart.v1.4" hidden="1">Charts!$C$170</definedName>
    <definedName name="_xlchart.v1.5" hidden="1">Charts!$C$171:$C$192</definedName>
    <definedName name="_xlchart.v1.6" hidden="1">Charts!$D$170</definedName>
    <definedName name="_xlchart.v1.7" hidden="1">Charts!$D$171:$D$192</definedName>
    <definedName name="_xlchart.v1.8" hidden="1">Charts!$E$170</definedName>
    <definedName name="_xlchart.v1.9" hidden="1">Charts!$E$171:$E$192</definedName>
    <definedName name="_xlchart.v2.16" hidden="1">Charts!$B$229:$B$233</definedName>
    <definedName name="_xlchart.v2.17" hidden="1">Charts!$C$228</definedName>
    <definedName name="_xlchart.v2.18" hidden="1">Charts!$C$229:$C$233</definedName>
    <definedName name="CountryList">'Sel Img'!$B$12:$B$15</definedName>
    <definedName name="CurrencyIndex">Currency!$C$31</definedName>
    <definedName name="CustomerList">'Mail Merge'!$B$30</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elete_AppendixA">'Conditional Content'!$D$22</definedName>
    <definedName name="delete_AppendixB">'Conditional Content'!$D$25</definedName>
    <definedName name="delete_CaseStudyA">'Conditional Content'!$D$19</definedName>
    <definedName name="delete_CaseStudyB">'Conditional Content'!$D$20</definedName>
    <definedName name="delete_CostAnalysis">'Conditional Content'!$D$18</definedName>
    <definedName name="delete_FinancialAnalysis">'Conditional Content'!$D$21</definedName>
    <definedName name="delete_SectionName">'Conditional Content'!$D$17</definedName>
    <definedName name="ExchangeRate">Currency!$C$6</definedName>
    <definedName name="HideCol_SheetA">'Auto-Hide'!$C$41:$H$41</definedName>
    <definedName name="HideRow_SheetA">'Auto-Hide'!$K$25:$K$39</definedName>
    <definedName name="ImageIndex">'Sel Img'!$B$8</definedName>
    <definedName name="Images">'Sel Img'!$C$12:$C$15</definedName>
    <definedName name="in_E2E_CustomerName">E2E!$I$33</definedName>
    <definedName name="in_E2E_Range">E2E!$H$37:$K$47</definedName>
    <definedName name="IntroPrintArea" hidden="1">#REF!</definedName>
    <definedName name="LangCurrencyFormat">Language!$D$37</definedName>
    <definedName name="LangExchangeRate">Language!$D$34</definedName>
    <definedName name="PerfText">'Chart Img'!$D$16</definedName>
    <definedName name="r_AutoHideExample" comment="[0,6:1,2]">'Auto-Hide'!$B$24:$H$39</definedName>
    <definedName name="r_AutoHideExampleFlex" comment="[0,6:2,2]">'Auto-Hide'!$B$24:$H$39</definedName>
    <definedName name="r_ChartSource">QuickStart!#REF!</definedName>
    <definedName name="r_ClientName">'Text &amp; Lists'!$D$4</definedName>
    <definedName name="r_CommonCharts" comment="[9:2]">Charts!$B$31:$E$35</definedName>
    <definedName name="r_CountryFlag">'Sel Img'!$C$7</definedName>
    <definedName name="r_CurrencyNet">Currency!$E$24</definedName>
    <definedName name="r_CurrencyTable">Currency!$B$21:$E$24</definedName>
    <definedName name="r_CustomerName">QuickStart!$D$31</definedName>
    <definedName name="r_E2E_CustomerName">E2E!$D$33</definedName>
    <definedName name="r_E2E_Range">E2E!$C$37:$F$47</definedName>
    <definedName name="r_Financials">Dest!$C$55:$E$70</definedName>
    <definedName name="r_Flag_img">'Sel Img'!$C$8</definedName>
    <definedName name="r_FlexHTML" comment="[0:2]">Flex!$C$68:$D$70</definedName>
    <definedName name="r_footer">'Text &amp; Lists'!$E$43</definedName>
    <definedName name="r_image_html">HTML!$B$14</definedName>
    <definedName name="r_ImageFromFormula_html">HTML!$B$22</definedName>
    <definedName name="r_IncomeStatement" comment="[0,6,27,28,30,33,32,29:2,2,2,#ffffff,3,10,3,2]">Flex!$C$10:$E$48</definedName>
    <definedName name="r_lang_paragraph">Language!$D$8</definedName>
    <definedName name="r_lang_table">Language!$C$25:$F$28</definedName>
    <definedName name="r_lang_title">Language!$D$7</definedName>
    <definedName name="r_lists_html">HTML!$B$10</definedName>
    <definedName name="r_MergeTable">'Mail Merge'!$B$16:$D$19</definedName>
    <definedName name="r_MergeText">'Mail Merge'!$C$22</definedName>
    <definedName name="r_NamedRange">Dest!$C$12:$K$19</definedName>
    <definedName name="r_Range_Img">Image!$B$6:$E$11</definedName>
    <definedName name="r_RangeImage_img">Image!$B$19:$C$20</definedName>
    <definedName name="r_ROISumTable">QuickStart!$C$39:$F$42</definedName>
    <definedName name="r_ROISumTableFlex" comment="[0,13:2,1]">QuickStart!$C$51:$F$61</definedName>
    <definedName name="r_savingsText">'Text &amp; Lists'!$D$9</definedName>
    <definedName name="r_SelectedPicture_img">'Sel Img'!$C$26</definedName>
    <definedName name="r_Shape_img">'Sel Img'!$C$36</definedName>
    <definedName name="r_StockChart" comment="[9:2]">Charts!$B$114:$G$119</definedName>
    <definedName name="r_Sunburst">Charts!$B$129:$E$144</definedName>
    <definedName name="r_TableComparison">Tables!$B$14:$D$16</definedName>
    <definedName name="r_text_html">HTML!$B$6</definedName>
    <definedName name="r_textSection1">'Text &amp; Lists'!$E$21</definedName>
    <definedName name="r_textSection2">'Text &amp; Lists'!$E$30</definedName>
    <definedName name="r_textSection3">'Text &amp; Lists'!$E$39</definedName>
    <definedName name="r_TextSummary">QuickStart!$C$33</definedName>
    <definedName name="r_textTitle1">'Text &amp; Lists'!$E$16</definedName>
    <definedName name="r_textTitle2">'Text &amp; Lists'!$E$23</definedName>
    <definedName name="r_textTitle3">'Text &amp; Lists'!$E$32</definedName>
    <definedName name="r_TitlesInColumns" comment="[0,13:2,1]">Flex!$A$55:$D$62</definedName>
    <definedName name="rBenAnn">QuickStart!$E$41</definedName>
    <definedName name="rBenOT">QuickStart!$D$41</definedName>
    <definedName name="rBenTotal">QuickStart!$F$41</definedName>
    <definedName name="rCostsAnn">QuickStart!$E$40</definedName>
    <definedName name="rCostsOT">QuickStart!$D$40</definedName>
    <definedName name="rCostsTotal">QuickStart!$F$40</definedName>
    <definedName name="rNetBen">QuickStart!$F$42</definedName>
    <definedName name="rROI">QuickStart!$F$45</definedName>
    <definedName name="Scenario">'Conditional Content'!$D$32</definedName>
    <definedName name="SelectedImage">INDEX(Images,ImageIndex)</definedName>
    <definedName name="SeparatorDec">Currency!$C$38</definedName>
    <definedName name="SeparatorThou">Currency!$C$39</definedName>
    <definedName name="SubmitContentPrefix">'Conditional Submit'!$D$18</definedName>
    <definedName name="TestValue">Charts!$E$28</definedName>
    <definedName name="TextFormatCurr">Currency!$C$41</definedName>
    <definedName name="TextFormatNum">Currency!$C$40</definedName>
    <definedName name="Users">QuickStart!$D$27</definedName>
    <definedName name="Years">QuickStart!$L$39</definedName>
  </definedNames>
  <calcPr calcId="191029"/>
  <pivotCaches>
    <pivotCache cacheId="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 i="29" l="1"/>
  <c r="K46" i="29" s="1"/>
  <c r="E45" i="29"/>
  <c r="D45" i="29"/>
  <c r="E43" i="29"/>
  <c r="E42" i="29"/>
  <c r="E40" i="29"/>
  <c r="E41" i="29" s="1"/>
  <c r="D43" i="29"/>
  <c r="D42" i="29"/>
  <c r="D40" i="29"/>
  <c r="K45" i="29"/>
  <c r="K43" i="29"/>
  <c r="K42" i="29"/>
  <c r="I41" i="29"/>
  <c r="K39" i="29"/>
  <c r="J41" i="29"/>
  <c r="J44" i="29" s="1"/>
  <c r="J47" i="29" s="1"/>
  <c r="E38" i="29"/>
  <c r="F39" i="29"/>
  <c r="D21" i="29"/>
  <c r="D22" i="29" s="1"/>
  <c r="D23" i="29" s="1"/>
  <c r="D24" i="29" s="1"/>
  <c r="D25" i="29" s="1"/>
  <c r="D26" i="29" s="1"/>
  <c r="D27" i="29" s="1"/>
  <c r="F43" i="29" l="1"/>
  <c r="E44" i="29"/>
  <c r="E46" i="29" s="1"/>
  <c r="F40" i="29"/>
  <c r="K41" i="29"/>
  <c r="I44" i="29"/>
  <c r="K40" i="29"/>
  <c r="F45" i="29"/>
  <c r="D41" i="29"/>
  <c r="F42" i="29"/>
  <c r="G24" i="27"/>
  <c r="C26" i="27" s="1" a="1"/>
  <c r="C26" i="27" s="1"/>
  <c r="H39" i="28"/>
  <c r="G39" i="28"/>
  <c r="F39" i="28"/>
  <c r="E39" i="28"/>
  <c r="D39" i="28"/>
  <c r="C39" i="28"/>
  <c r="H38" i="28"/>
  <c r="G38" i="28"/>
  <c r="F38" i="28"/>
  <c r="E38" i="28"/>
  <c r="D38" i="28"/>
  <c r="C38" i="28"/>
  <c r="H37" i="28"/>
  <c r="G37" i="28"/>
  <c r="F37" i="28"/>
  <c r="E37" i="28"/>
  <c r="D37" i="28"/>
  <c r="C37" i="28"/>
  <c r="H36" i="28"/>
  <c r="G36" i="28"/>
  <c r="F36" i="28"/>
  <c r="E36" i="28"/>
  <c r="D36" i="28"/>
  <c r="C36" i="28"/>
  <c r="H35" i="28"/>
  <c r="G35" i="28"/>
  <c r="F35" i="28"/>
  <c r="E35" i="28"/>
  <c r="D35" i="28"/>
  <c r="C35"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6" i="28"/>
  <c r="G26" i="28"/>
  <c r="F26" i="28"/>
  <c r="E26" i="28"/>
  <c r="D26" i="28"/>
  <c r="C26" i="28"/>
  <c r="H25" i="28"/>
  <c r="G25" i="28"/>
  <c r="F25" i="28"/>
  <c r="E25" i="28"/>
  <c r="D25" i="28"/>
  <c r="C25" i="28"/>
  <c r="B45" i="28"/>
  <c r="B44" i="28"/>
  <c r="C22" i="28"/>
  <c r="K39" i="28" s="1" a="1"/>
  <c r="K39" i="28" s="1"/>
  <c r="D44" i="29" l="1"/>
  <c r="K44" i="29"/>
  <c r="I47" i="29"/>
  <c r="K47" i="29" s="1"/>
  <c r="C41" i="28" a="1"/>
  <c r="C41" i="28" s="1"/>
  <c r="D41" i="28" a="1"/>
  <c r="D41" i="28" s="1"/>
  <c r="E41" i="28" a="1"/>
  <c r="E41" i="28" s="1"/>
  <c r="F41" i="28" a="1"/>
  <c r="F41" i="28" s="1"/>
  <c r="G41" i="28" a="1"/>
  <c r="G41" i="28" s="1"/>
  <c r="H41" i="28" a="1"/>
  <c r="H41" i="28" s="1"/>
  <c r="K25" i="28" a="1"/>
  <c r="K25" i="28" s="1"/>
  <c r="K35" i="28" a="1"/>
  <c r="K35" i="28" s="1"/>
  <c r="K26" i="28" a="1"/>
  <c r="K26" i="28" s="1"/>
  <c r="K31" i="28" a="1"/>
  <c r="K31" i="28" s="1"/>
  <c r="K36" i="28" a="1"/>
  <c r="K36" i="28" s="1"/>
  <c r="K27" i="28" a="1"/>
  <c r="K27" i="28" s="1"/>
  <c r="K32" i="28" a="1"/>
  <c r="K32" i="28" s="1"/>
  <c r="K37" i="28" a="1"/>
  <c r="K37" i="28" s="1"/>
  <c r="K28" i="28" a="1"/>
  <c r="K28" i="28" s="1"/>
  <c r="K33" i="28" a="1"/>
  <c r="K33" i="28" s="1"/>
  <c r="K38" i="28" a="1"/>
  <c r="K38" i="28" s="1"/>
  <c r="K30" i="28" a="1"/>
  <c r="K30" i="28" s="1"/>
  <c r="K29" i="28" a="1"/>
  <c r="K29" i="28" s="1"/>
  <c r="K34" i="28" a="1"/>
  <c r="K34" i="28" s="1"/>
  <c r="B96" i="19"/>
  <c r="B97" i="19" s="1"/>
  <c r="B98" i="19" s="1"/>
  <c r="B99" i="19" s="1"/>
  <c r="B100" i="19" s="1"/>
  <c r="B101" i="19" s="1"/>
  <c r="B102" i="19" s="1"/>
  <c r="B103" i="19" s="1"/>
  <c r="B104" i="19" s="1"/>
  <c r="B105" i="19" s="1"/>
  <c r="B106" i="19" s="1"/>
  <c r="B107" i="19" s="1"/>
  <c r="B108" i="19" s="1"/>
  <c r="B109" i="19" s="1"/>
  <c r="B110" i="19" s="1"/>
  <c r="C74" i="22"/>
  <c r="C73" i="22" s="1"/>
  <c r="C72" i="22" s="1"/>
  <c r="C71" i="22" s="1"/>
  <c r="B73" i="19"/>
  <c r="B72" i="19" s="1"/>
  <c r="B71" i="19" s="1"/>
  <c r="B70" i="19" s="1"/>
  <c r="D71" i="22"/>
  <c r="D72" i="22" s="1"/>
  <c r="D73" i="22" s="1"/>
  <c r="D74" i="22" s="1"/>
  <c r="D47" i="29" l="1"/>
  <c r="G34" i="27"/>
  <c r="G35" i="27" s="1" a="1"/>
  <c r="G35" i="27" s="1"/>
  <c r="C233" i="19"/>
  <c r="C215" i="19"/>
  <c r="C219" i="19" s="1"/>
  <c r="C222" i="19" s="1"/>
  <c r="C199" i="19"/>
  <c r="C171" i="19"/>
  <c r="E150" i="19"/>
  <c r="E129" i="19"/>
  <c r="C70" i="19"/>
  <c r="C32" i="19"/>
  <c r="D32" i="19" s="1"/>
  <c r="C96" i="19" s="1"/>
  <c r="C97" i="19" s="1"/>
  <c r="C98" i="19" s="1"/>
  <c r="C99" i="19" s="1"/>
  <c r="C100" i="19" s="1"/>
  <c r="C101" i="19" s="1"/>
  <c r="C102" i="19" s="1"/>
  <c r="C103" i="19" s="1"/>
  <c r="C104" i="19" s="1"/>
  <c r="C105" i="19" s="1"/>
  <c r="C106" i="19" s="1"/>
  <c r="C107" i="19" s="1"/>
  <c r="C108" i="19" s="1"/>
  <c r="C109" i="19" s="1"/>
  <c r="C110" i="19" s="1"/>
  <c r="D70" i="19" l="1"/>
  <c r="D71" i="19" s="1"/>
  <c r="D72" i="19" s="1"/>
  <c r="D73" i="19" s="1"/>
  <c r="E70" i="19"/>
  <c r="E71" i="19" s="1"/>
  <c r="E72" i="19" s="1"/>
  <c r="E73" i="19" s="1"/>
  <c r="C71" i="19"/>
  <c r="C72" i="19" s="1"/>
  <c r="C73" i="19" s="1"/>
  <c r="C33" i="19"/>
  <c r="E32" i="19"/>
  <c r="E33" i="19" l="1"/>
  <c r="C34" i="19"/>
  <c r="D34" i="19" l="1"/>
  <c r="C35" i="19"/>
  <c r="E34" i="19"/>
  <c r="D35" i="19" l="1"/>
  <c r="E35" i="19"/>
  <c r="E71" i="22" l="1"/>
  <c r="E72" i="22" s="1"/>
  <c r="E73" i="22" s="1"/>
  <c r="E74" i="22" s="1"/>
  <c r="F71" i="22"/>
  <c r="F72" i="22" s="1"/>
  <c r="F73" i="22" s="1"/>
  <c r="F74" i="22" s="1"/>
  <c r="C83" i="19"/>
  <c r="C84" i="19" s="1"/>
  <c r="C85" i="19" s="1"/>
  <c r="C86" i="19" s="1"/>
  <c r="I97" i="19"/>
  <c r="K97" i="19" s="1"/>
  <c r="K98" i="19" s="1"/>
  <c r="K99" i="19" s="1"/>
  <c r="K100" i="19" s="1"/>
  <c r="K101" i="19" s="1"/>
  <c r="B115" i="19"/>
  <c r="B116" i="19" s="1"/>
  <c r="B117" i="19" s="1"/>
  <c r="B118" i="19" s="1"/>
  <c r="B119" i="19" s="1"/>
  <c r="C115" i="19"/>
  <c r="C116" i="19" s="1"/>
  <c r="C117" i="19" s="1"/>
  <c r="C118" i="19" s="1"/>
  <c r="C119" i="19" s="1"/>
  <c r="D14" i="25"/>
  <c r="D53" i="22" s="1"/>
  <c r="D115" i="19" l="1"/>
  <c r="G115" i="19" s="1"/>
  <c r="E115" i="19" s="1"/>
  <c r="J97" i="19"/>
  <c r="J98" i="19" s="1"/>
  <c r="J99" i="19" s="1"/>
  <c r="J100" i="19" s="1"/>
  <c r="J101" i="19" s="1"/>
  <c r="I98" i="19"/>
  <c r="I99" i="19" s="1"/>
  <c r="I100" i="19" s="1"/>
  <c r="I101" i="19" s="1"/>
  <c r="E14" i="25"/>
  <c r="E53" i="22" s="1"/>
  <c r="F53" i="22" s="1"/>
  <c r="B8" i="27"/>
  <c r="F115" i="19" l="1"/>
  <c r="D116" i="19"/>
  <c r="F116" i="19" s="1"/>
  <c r="E43" i="10"/>
  <c r="C68" i="4"/>
  <c r="G67" i="4"/>
  <c r="C67" i="4"/>
  <c r="G66" i="4"/>
  <c r="C66" i="4"/>
  <c r="G65" i="4"/>
  <c r="C65" i="4"/>
  <c r="G64" i="4"/>
  <c r="C64" i="4"/>
  <c r="G63" i="4"/>
  <c r="C63" i="4"/>
  <c r="G62" i="4"/>
  <c r="C62" i="4"/>
  <c r="G61" i="4"/>
  <c r="C61" i="4"/>
  <c r="G60" i="4"/>
  <c r="C60" i="4"/>
  <c r="G59" i="4"/>
  <c r="C59" i="4"/>
  <c r="G58" i="4"/>
  <c r="C58" i="4"/>
  <c r="G57" i="4"/>
  <c r="C57" i="4"/>
  <c r="G56" i="4"/>
  <c r="C56" i="4"/>
  <c r="G55" i="4"/>
  <c r="C55" i="4"/>
  <c r="G54" i="4"/>
  <c r="C54" i="4"/>
  <c r="G53" i="4"/>
  <c r="C53" i="4"/>
  <c r="G52" i="4"/>
  <c r="C52" i="4"/>
  <c r="G51" i="4"/>
  <c r="C51" i="4"/>
  <c r="G50" i="4"/>
  <c r="C50" i="4"/>
  <c r="G49" i="4"/>
  <c r="C49" i="4"/>
  <c r="G48" i="4"/>
  <c r="C48" i="4"/>
  <c r="G47" i="4"/>
  <c r="C47" i="4"/>
  <c r="G46" i="4"/>
  <c r="C46" i="4"/>
  <c r="G45" i="4"/>
  <c r="C45" i="4"/>
  <c r="C38" i="4"/>
  <c r="C39" i="4" s="1"/>
  <c r="H51" i="4" s="1"/>
  <c r="F37" i="5" s="1"/>
  <c r="C35" i="4"/>
  <c r="G116" i="19" l="1"/>
  <c r="D117" i="19" s="1"/>
  <c r="H68" i="4"/>
  <c r="E37" i="5" s="1"/>
  <c r="H60" i="4"/>
  <c r="I60" i="4" s="1"/>
  <c r="H52" i="4"/>
  <c r="I52" i="4" s="1"/>
  <c r="H67" i="4"/>
  <c r="I67" i="4" s="1"/>
  <c r="H59" i="4"/>
  <c r="I59" i="4" s="1"/>
  <c r="H50" i="4"/>
  <c r="I50" i="4" s="1"/>
  <c r="H66" i="4"/>
  <c r="I66" i="4" s="1"/>
  <c r="H58" i="4"/>
  <c r="I58" i="4" s="1"/>
  <c r="H49" i="4"/>
  <c r="I49" i="4" s="1"/>
  <c r="H65" i="4"/>
  <c r="I65" i="4" s="1"/>
  <c r="H57" i="4"/>
  <c r="I57" i="4" s="1"/>
  <c r="H48" i="4"/>
  <c r="I48" i="4" s="1"/>
  <c r="H64" i="4"/>
  <c r="I64" i="4" s="1"/>
  <c r="H56" i="4"/>
  <c r="I56" i="4" s="1"/>
  <c r="H47" i="4"/>
  <c r="I47" i="4" s="1"/>
  <c r="H63" i="4"/>
  <c r="I63" i="4" s="1"/>
  <c r="H55" i="4"/>
  <c r="G37" i="5" s="1"/>
  <c r="H46" i="4"/>
  <c r="I46" i="4" s="1"/>
  <c r="H62" i="4"/>
  <c r="I62" i="4" s="1"/>
  <c r="H54" i="4"/>
  <c r="I54" i="4" s="1"/>
  <c r="H45" i="4"/>
  <c r="I45" i="4" s="1"/>
  <c r="H61" i="4"/>
  <c r="I61" i="4" s="1"/>
  <c r="H53" i="4"/>
  <c r="I53" i="4" s="1"/>
  <c r="C31" i="4"/>
  <c r="C40" i="4"/>
  <c r="C23" i="24"/>
  <c r="C10" i="24"/>
  <c r="C20" i="1"/>
  <c r="I68" i="4" l="1"/>
  <c r="E116" i="19"/>
  <c r="F117" i="19"/>
  <c r="G117" i="19"/>
  <c r="I55" i="4"/>
  <c r="H69" i="4" a="1"/>
  <c r="H69" i="4" s="1"/>
  <c r="C41" i="4" s="1"/>
  <c r="I51" i="4"/>
  <c r="I69" i="4" s="1" a="1"/>
  <c r="I69" i="4" s="1"/>
  <c r="C32" i="4" a="1"/>
  <c r="C32" i="4" s="1"/>
  <c r="C69" i="4" a="1"/>
  <c r="C69" i="4" s="1"/>
  <c r="D69" i="4" a="1"/>
  <c r="D69" i="4" s="1"/>
  <c r="G69" i="4" a="1"/>
  <c r="G69" i="4" s="1"/>
  <c r="C33" i="4" a="1"/>
  <c r="C33" i="4" s="1"/>
  <c r="C6" i="4" s="1"/>
  <c r="C15" i="21"/>
  <c r="I16" i="17"/>
  <c r="D118" i="19" l="1"/>
  <c r="E117" i="19"/>
  <c r="I17" i="17"/>
  <c r="D17" i="17" s="1"/>
  <c r="I23" i="17"/>
  <c r="D23" i="17" s="1"/>
  <c r="I24" i="17"/>
  <c r="D24" i="17" s="1"/>
  <c r="C22" i="4"/>
  <c r="C34" i="4"/>
  <c r="I20" i="17"/>
  <c r="D20" i="17" s="1"/>
  <c r="I19" i="17"/>
  <c r="D19" i="17" s="1"/>
  <c r="I22" i="17"/>
  <c r="D22" i="17" s="1"/>
  <c r="I18" i="17"/>
  <c r="D18" i="17" s="1"/>
  <c r="I25" i="17"/>
  <c r="D25" i="17" s="1"/>
  <c r="I21" i="17"/>
  <c r="D21" i="17" s="1"/>
  <c r="E40" i="25"/>
  <c r="D40" i="25"/>
  <c r="E39" i="25"/>
  <c r="D39" i="25"/>
  <c r="E47" i="25"/>
  <c r="E60" i="22" s="1"/>
  <c r="E45" i="25"/>
  <c r="E44" i="25"/>
  <c r="E41" i="25"/>
  <c r="E38" i="25"/>
  <c r="E37" i="25"/>
  <c r="E36" i="25"/>
  <c r="E35" i="25"/>
  <c r="E34" i="25"/>
  <c r="E33" i="25"/>
  <c r="E32" i="25"/>
  <c r="E31" i="25"/>
  <c r="E30" i="25"/>
  <c r="E29" i="25"/>
  <c r="E28" i="25"/>
  <c r="E27" i="25"/>
  <c r="E22" i="25"/>
  <c r="E21" i="25"/>
  <c r="E20" i="25"/>
  <c r="E16" i="25"/>
  <c r="E15" i="25"/>
  <c r="D47" i="25"/>
  <c r="D60" i="22" s="1"/>
  <c r="D45" i="25"/>
  <c r="D44" i="25"/>
  <c r="D41" i="25"/>
  <c r="D38" i="25"/>
  <c r="D37" i="25"/>
  <c r="D36" i="25"/>
  <c r="D35" i="25"/>
  <c r="D34" i="25"/>
  <c r="D33" i="25"/>
  <c r="D32" i="25"/>
  <c r="D31" i="25"/>
  <c r="D30" i="25"/>
  <c r="D29" i="25"/>
  <c r="D28" i="25"/>
  <c r="D27" i="25"/>
  <c r="D22" i="25"/>
  <c r="D21" i="25"/>
  <c r="D20" i="25"/>
  <c r="D16" i="25"/>
  <c r="D15" i="25"/>
  <c r="F118" i="19" l="1"/>
  <c r="G118" i="19"/>
  <c r="F60" i="22"/>
  <c r="D59" i="22"/>
  <c r="E59" i="22"/>
  <c r="D54" i="22"/>
  <c r="D55" i="22" s="1"/>
  <c r="E54" i="22"/>
  <c r="E17" i="25"/>
  <c r="E42" i="25"/>
  <c r="E57" i="22" s="1"/>
  <c r="E23" i="25"/>
  <c r="D42" i="25"/>
  <c r="D57" i="22" s="1"/>
  <c r="D23" i="25"/>
  <c r="D56" i="22" s="1"/>
  <c r="D17" i="25"/>
  <c r="E118" i="19" l="1"/>
  <c r="D119" i="19"/>
  <c r="F59" i="22"/>
  <c r="F57" i="22"/>
  <c r="D58" i="22"/>
  <c r="D61" i="22" s="1"/>
  <c r="E24" i="25"/>
  <c r="E43" i="25" s="1"/>
  <c r="E46" i="25" s="1"/>
  <c r="E48" i="25" s="1"/>
  <c r="E56" i="22"/>
  <c r="F56" i="22" s="1"/>
  <c r="F54" i="22"/>
  <c r="E55" i="22"/>
  <c r="D24" i="25"/>
  <c r="D43" i="25" s="1"/>
  <c r="D46" i="25" s="1"/>
  <c r="D48" i="25" s="1"/>
  <c r="E41" i="22"/>
  <c r="E40" i="22"/>
  <c r="D40" i="22"/>
  <c r="E48" i="5"/>
  <c r="E47" i="5"/>
  <c r="E46" i="5"/>
  <c r="E45" i="5"/>
  <c r="E44" i="5"/>
  <c r="E43" i="5"/>
  <c r="B24" i="5"/>
  <c r="E15" i="5"/>
  <c r="D15" i="5"/>
  <c r="E14" i="5"/>
  <c r="F14" i="5" s="1"/>
  <c r="D4" i="5"/>
  <c r="D42" i="5" s="1"/>
  <c r="H26" i="5" s="1"/>
  <c r="I23" i="4"/>
  <c r="A20" i="4"/>
  <c r="A14" i="4"/>
  <c r="D11" i="4"/>
  <c r="D23" i="4" s="1"/>
  <c r="C11" i="4"/>
  <c r="C23" i="4" s="1"/>
  <c r="D10" i="4"/>
  <c r="C6" i="6"/>
  <c r="C11" i="6" s="1"/>
  <c r="I35" i="17"/>
  <c r="B37" i="16"/>
  <c r="D37" i="16" s="1"/>
  <c r="B23" i="8"/>
  <c r="B22" i="8" s="1"/>
  <c r="B21" i="8" s="1"/>
  <c r="B20" i="8" s="1"/>
  <c r="B19" i="8" s="1"/>
  <c r="C20" i="8"/>
  <c r="C21" i="8" s="1"/>
  <c r="C22" i="8" s="1"/>
  <c r="C23" i="8" s="1"/>
  <c r="D16" i="8"/>
  <c r="J11" i="1"/>
  <c r="I11" i="1"/>
  <c r="H11" i="1"/>
  <c r="G11" i="1"/>
  <c r="D10" i="1"/>
  <c r="D9" i="1"/>
  <c r="D8" i="1"/>
  <c r="D7" i="1"/>
  <c r="D67" i="2"/>
  <c r="E67" i="2" s="1"/>
  <c r="D65" i="2"/>
  <c r="E65" i="2" s="1"/>
  <c r="D63" i="2"/>
  <c r="E63" i="2" s="1"/>
  <c r="D62" i="2"/>
  <c r="E62" i="2" s="1"/>
  <c r="D61" i="2"/>
  <c r="E61" i="2" s="1"/>
  <c r="D60" i="2"/>
  <c r="E60" i="2" s="1"/>
  <c r="D57" i="2"/>
  <c r="E57" i="2" s="1"/>
  <c r="E56" i="2"/>
  <c r="D55" i="2"/>
  <c r="D30" i="2"/>
  <c r="D31" i="2" s="1"/>
  <c r="D32" i="2" s="1"/>
  <c r="D33" i="2" s="1"/>
  <c r="D34" i="2" s="1"/>
  <c r="D35" i="2" s="1"/>
  <c r="D36" i="2" s="1"/>
  <c r="H18" i="2"/>
  <c r="J18" i="2" s="1"/>
  <c r="G18" i="2"/>
  <c r="C18" i="2"/>
  <c r="I17" i="2"/>
  <c r="E17" i="2"/>
  <c r="H17" i="2" s="1"/>
  <c r="C17" i="2"/>
  <c r="I16" i="2"/>
  <c r="J16" i="2" s="1"/>
  <c r="C16" i="2"/>
  <c r="I15" i="2"/>
  <c r="E15" i="2"/>
  <c r="G15" i="2" s="1"/>
  <c r="I14" i="2"/>
  <c r="H14" i="2"/>
  <c r="G14" i="2"/>
  <c r="F38" i="10"/>
  <c r="F37" i="10"/>
  <c r="F36" i="10"/>
  <c r="F35" i="10"/>
  <c r="F34" i="10"/>
  <c r="F33" i="10"/>
  <c r="E30" i="10" a="1"/>
  <c r="E30" i="10" s="1"/>
  <c r="F20" i="10"/>
  <c r="F19" i="10"/>
  <c r="E18" i="10"/>
  <c r="F18" i="10" s="1"/>
  <c r="E17" i="10"/>
  <c r="F17" i="10" s="1"/>
  <c r="D9" i="10"/>
  <c r="F119" i="19" l="1"/>
  <c r="G119" i="19"/>
  <c r="E119" i="19" s="1"/>
  <c r="E58" i="22"/>
  <c r="F55" i="22"/>
  <c r="E10" i="4"/>
  <c r="E22" i="4" s="1"/>
  <c r="D22" i="4"/>
  <c r="I44" i="17"/>
  <c r="D44" i="17" s="1"/>
  <c r="D11" i="1"/>
  <c r="F40" i="22"/>
  <c r="F83" i="22" s="1"/>
  <c r="F41" i="22"/>
  <c r="J14" i="2"/>
  <c r="K14" i="2" s="1"/>
  <c r="E11" i="4"/>
  <c r="E39" i="10"/>
  <c r="G17" i="2"/>
  <c r="K18" i="2"/>
  <c r="C37" i="16"/>
  <c r="C10" i="6"/>
  <c r="D18" i="6" s="1"/>
  <c r="J17" i="2"/>
  <c r="E37" i="16"/>
  <c r="E21" i="10"/>
  <c r="C16" i="4"/>
  <c r="H15" i="2"/>
  <c r="J15" i="2" s="1"/>
  <c r="D58" i="2"/>
  <c r="C12" i="6"/>
  <c r="D17" i="4"/>
  <c r="D34" i="5"/>
  <c r="D21" i="5" s="1"/>
  <c r="D39" i="5"/>
  <c r="D43" i="5"/>
  <c r="D19" i="5" s="1"/>
  <c r="D25" i="5" s="1"/>
  <c r="D45" i="5"/>
  <c r="F19" i="5" s="1"/>
  <c r="F25" i="5" s="1"/>
  <c r="D47" i="5"/>
  <c r="C21" i="5" s="1"/>
  <c r="C27" i="5" s="1"/>
  <c r="E16" i="2"/>
  <c r="G16" i="2" s="1"/>
  <c r="K16" i="2" s="1"/>
  <c r="I37" i="17"/>
  <c r="D37" i="17" s="1"/>
  <c r="I39" i="17"/>
  <c r="D39" i="17" s="1"/>
  <c r="I41" i="17"/>
  <c r="D41" i="17" s="1"/>
  <c r="I43" i="17"/>
  <c r="D43" i="17" s="1"/>
  <c r="C9" i="6"/>
  <c r="C13" i="6"/>
  <c r="C14" i="6" s="1"/>
  <c r="C17" i="6" s="1"/>
  <c r="D16" i="4"/>
  <c r="F15" i="5"/>
  <c r="D35" i="5"/>
  <c r="H27" i="5" s="1"/>
  <c r="D40" i="5"/>
  <c r="D36" i="5"/>
  <c r="D41" i="5"/>
  <c r="D44" i="5"/>
  <c r="E19" i="5" s="1"/>
  <c r="E25" i="5" s="1"/>
  <c r="D46" i="5"/>
  <c r="C20" i="5" s="1"/>
  <c r="C26" i="5" s="1"/>
  <c r="D48" i="5"/>
  <c r="C22" i="5" s="1"/>
  <c r="C28" i="5" s="1"/>
  <c r="I36" i="17"/>
  <c r="D36" i="17" s="1"/>
  <c r="I38" i="17"/>
  <c r="D38" i="17" s="1"/>
  <c r="I40" i="17"/>
  <c r="D40" i="17" s="1"/>
  <c r="I42" i="17"/>
  <c r="D42" i="17" s="1"/>
  <c r="C17" i="4"/>
  <c r="D37" i="5"/>
  <c r="D38" i="5"/>
  <c r="D7" i="5" s="1"/>
  <c r="B22" i="16" l="1"/>
  <c r="E61" i="22"/>
  <c r="F61" i="22" s="1"/>
  <c r="F58" i="22"/>
  <c r="E12" i="4"/>
  <c r="E24" i="4" s="1"/>
  <c r="E23" i="4"/>
  <c r="E16" i="4"/>
  <c r="E17" i="4"/>
  <c r="F84" i="22"/>
  <c r="F42" i="22"/>
  <c r="F45" i="22" s="1"/>
  <c r="D17" i="6"/>
  <c r="D19" i="6"/>
  <c r="J19" i="2"/>
  <c r="E21" i="5"/>
  <c r="E27" i="5" s="1"/>
  <c r="K17" i="2"/>
  <c r="D27" i="5"/>
  <c r="G19" i="2"/>
  <c r="K15" i="2"/>
  <c r="E58" i="2"/>
  <c r="D64" i="2"/>
  <c r="F16" i="5"/>
  <c r="F22" i="5" s="1"/>
  <c r="F28" i="5" s="1"/>
  <c r="F21" i="5"/>
  <c r="F27" i="5" s="1"/>
  <c r="D20" i="5"/>
  <c r="D26" i="5" s="1"/>
  <c r="E20" i="5"/>
  <c r="E26" i="5" s="1"/>
  <c r="F20" i="5"/>
  <c r="F26" i="5" s="1"/>
  <c r="C33" i="22" l="1"/>
  <c r="E85" i="22"/>
  <c r="E18" i="4"/>
  <c r="C22" i="6"/>
  <c r="K19" i="2"/>
  <c r="D8" i="5"/>
  <c r="E64" i="2"/>
  <c r="D66" i="2"/>
  <c r="E66" i="2" l="1"/>
  <c r="D68" i="2"/>
  <c r="E68" i="2" l="1"/>
  <c r="D69" i="2"/>
  <c r="E69" i="2" s="1"/>
  <c r="D70" i="2" l="1"/>
  <c r="E70" i="2" s="1"/>
  <c r="E47" i="29"/>
  <c r="F47" i="29" s="1"/>
  <c r="F41" i="29"/>
  <c r="F46" i="29"/>
  <c r="F44" i="2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<sst xmlns="http://schemas.openxmlformats.org/spreadsheetml/2006/main" count="1959" uniqueCount="1348">
  <si>
    <t>Sample Content and How-To Guide</t>
  </si>
  <si>
    <t>AnalysisPlace Excel-to-Word Document Automation Add-In</t>
  </si>
  <si>
    <r>
      <t xml:space="preserve">The </t>
    </r>
    <r>
      <rPr>
        <b/>
        <sz val="11"/>
        <color theme="1"/>
        <rFont val="Arial"/>
        <family val="2"/>
      </rPr>
      <t>Excel-to-Word Document Automation Add-In</t>
    </r>
    <r>
      <rPr>
        <sz val="11"/>
        <color theme="1"/>
        <rFont val="Arial"/>
        <family val="2"/>
      </rPr>
      <t xml:space="preserve"> updates Word and PowerPoint content (text, tables, charts, etc.) based on Excel data and calculations.</t>
    </r>
  </si>
  <si>
    <t xml:space="preserve">Thousands of businesses rely on this add-in to easily and consistently update Word (and PowerPoint) documents </t>
  </si>
  <si>
    <t>Purpose of this Workbook</t>
  </si>
  <si>
    <t>This workbook demonstrates capabilities of the add-in. It also contains instructions and examples for most key features of the add-in.</t>
  </si>
  <si>
    <t>This "QuickStart" worksheet contains basic/common examples. Other sheets contain a variety of more-advanced content/features that you can refer to as needed.</t>
  </si>
  <si>
    <t>To Get Started</t>
  </si>
  <si>
    <r>
      <t xml:space="preserve">In </t>
    </r>
    <r>
      <rPr>
        <b/>
        <sz val="11"/>
        <color theme="9" tint="-0.249977111117893"/>
        <rFont val="Arial"/>
        <family val="2"/>
      </rPr>
      <t>Excel</t>
    </r>
  </si>
  <si>
    <r>
      <rPr>
        <strike/>
        <sz val="11"/>
        <rFont val="Arial"/>
        <family val="2"/>
      </rPr>
      <t>Insert Sample Content</t>
    </r>
    <r>
      <rPr>
        <sz val="11"/>
        <rFont val="Arial"/>
        <family val="2"/>
      </rPr>
      <t xml:space="preserve"> (done)</t>
    </r>
  </si>
  <si>
    <r>
      <t>Click "</t>
    </r>
    <r>
      <rPr>
        <b/>
        <sz val="12"/>
        <color theme="1"/>
        <rFont val="Calibri"/>
        <family val="2"/>
        <scheme val="minor"/>
      </rPr>
      <t>Submit Content</t>
    </r>
    <r>
      <rPr>
        <sz val="12"/>
        <color theme="1"/>
        <rFont val="Calibri"/>
        <family val="2"/>
        <scheme val="minor"/>
      </rPr>
      <t>" on the "</t>
    </r>
    <r>
      <rPr>
        <b/>
        <sz val="12"/>
        <color theme="1"/>
        <rFont val="Calibri"/>
        <family val="2"/>
        <scheme val="minor"/>
      </rPr>
      <t>Submit</t>
    </r>
    <r>
      <rPr>
        <sz val="12"/>
        <color theme="1"/>
        <rFont val="Calibri"/>
        <family val="2"/>
        <scheme val="minor"/>
      </rPr>
      <t>" tab of the add-in</t>
    </r>
    <r>
      <rPr>
        <sz val="11"/>
        <color theme="1"/>
        <rFont val="Arial"/>
        <family val="2"/>
      </rPr>
      <t>. Check "This Sheet Only"</t>
    </r>
  </si>
  <si>
    <r>
      <t xml:space="preserve">In </t>
    </r>
    <r>
      <rPr>
        <b/>
        <sz val="11"/>
        <color theme="4"/>
        <rFont val="Arial"/>
        <family val="2"/>
      </rPr>
      <t>Word</t>
    </r>
    <r>
      <rPr>
        <b/>
        <sz val="11"/>
        <color theme="1"/>
        <rFont val="Arial"/>
        <family val="2"/>
      </rPr>
      <t xml:space="preserve"> or </t>
    </r>
    <r>
      <rPr>
        <b/>
        <sz val="11"/>
        <color theme="5"/>
        <rFont val="Arial"/>
        <family val="2"/>
      </rPr>
      <t>PowerPoint</t>
    </r>
    <r>
      <rPr>
        <b/>
        <sz val="11"/>
        <color theme="1"/>
        <rFont val="Arial"/>
        <family val="2"/>
      </rPr>
      <t>:</t>
    </r>
  </si>
  <si>
    <r>
      <t xml:space="preserve">In the add-in, click </t>
    </r>
    <r>
      <rPr>
        <b/>
        <sz val="11"/>
        <color theme="1"/>
        <rFont val="Arial"/>
        <family val="2"/>
      </rPr>
      <t>"Insert Sample Content</t>
    </r>
    <r>
      <rPr>
        <sz val="11"/>
        <color theme="1"/>
        <rFont val="Arial"/>
        <family val="2"/>
      </rPr>
      <t>"</t>
    </r>
  </si>
  <si>
    <r>
      <t>Click "</t>
    </r>
    <r>
      <rPr>
        <b/>
        <sz val="11"/>
        <color theme="1"/>
        <rFont val="Arial"/>
        <family val="2"/>
      </rPr>
      <t>Update Document</t>
    </r>
    <r>
      <rPr>
        <sz val="11"/>
        <color theme="1"/>
        <rFont val="Arial"/>
        <family val="2"/>
      </rPr>
      <t>" on the "Update" tab of the add-in. You'll see your changes in the document near the beginning.</t>
    </r>
  </si>
  <si>
    <t>Next:</t>
  </si>
  <si>
    <t>Try changing other aspects of the content below, then "Submit", then "Update" in Word/PPT</t>
  </si>
  <si>
    <t>Review the "Features" tab, then explore/try any other content in this workbook, as needed. It contains examples and how-to instructions for a variety of features</t>
  </si>
  <si>
    <t>Link/create/update your own documents.</t>
  </si>
  <si>
    <t>QuickStart Sample Content</t>
  </si>
  <si>
    <t>Number of Users</t>
  </si>
  <si>
    <t>Text</t>
  </si>
  <si>
    <t>Customer Name</t>
  </si>
  <si>
    <t>MyCustomer</t>
  </si>
  <si>
    <t>RangeName='r_CustomerName'</t>
  </si>
  <si>
    <t>RangeName of cell above ='r_TextSummary'</t>
  </si>
  <si>
    <t>Text content (from a single cell named range in Excel) can appear in a variety of places within your Word/PowerPoint documents: titles, paragraphs (Word), text boxes, content shapes (PPT), WordArt, etc. Text content is formatted in Word/PPT.</t>
  </si>
  <si>
    <t>Tables</t>
  </si>
  <si>
    <t>Destination-Formatted Tables</t>
  </si>
  <si>
    <t>One Time</t>
  </si>
  <si>
    <t>Annual</t>
  </si>
  <si>
    <t>Total</t>
  </si>
  <si>
    <t>Costs</t>
  </si>
  <si>
    <t>Benefits</t>
  </si>
  <si>
    <t>Net Benefits</t>
  </si>
  <si>
    <t>RangeName of table above='r_ROISumTable'</t>
  </si>
  <si>
    <t>ROI (Net Benefits / Costs)</t>
  </si>
  <si>
    <t>Flex Table (Excel-formatted)</t>
  </si>
  <si>
    <t>Flex tables use the format from Excel and are the preferred method for many table types, including large financial tables/reports. Flex tables do not work in PowerPoint.</t>
  </si>
  <si>
    <t>Try modifying the values, fill/text color, merging, borders, etc. here in Excel. Changes will be reflected in the Word table after the update. Flex tables are created in Excel and replace the corresponding Word table.</t>
  </si>
  <si>
    <t>Income Statement ($Millions)</t>
  </si>
  <si>
    <t>Change</t>
  </si>
  <si>
    <t>Gross Sales</t>
  </si>
  <si>
    <t>Returns</t>
  </si>
  <si>
    <t>Net Sales</t>
  </si>
  <si>
    <t>Cost of Goods Sold</t>
  </si>
  <si>
    <t>Operating Expenses</t>
  </si>
  <si>
    <t>Operating Profit</t>
  </si>
  <si>
    <t>Interest and Other Income</t>
  </si>
  <si>
    <t>Tax Expense</t>
  </si>
  <si>
    <t>Net Profit</t>
  </si>
  <si>
    <t>RangeName of table above='r_ROISumTableFlex'</t>
  </si>
  <si>
    <t>Value</t>
  </si>
  <si>
    <t>ChartName='r_CostsVsBenefitsChart'</t>
  </si>
  <si>
    <t>Merchant</t>
  </si>
  <si>
    <t>Date</t>
  </si>
  <si>
    <t>Category</t>
  </si>
  <si>
    <t>Amount</t>
  </si>
  <si>
    <t>The Phone Company</t>
  </si>
  <si>
    <t>Communications</t>
  </si>
  <si>
    <t>Northwind Electric Cars</t>
  </si>
  <si>
    <t>Transportation</t>
  </si>
  <si>
    <t>Best For You Organics Company</t>
  </si>
  <si>
    <t>Groceries</t>
  </si>
  <si>
    <t>Coho Vineyard</t>
  </si>
  <si>
    <t>Restaurant</t>
  </si>
  <si>
    <t>Bellows College</t>
  </si>
  <si>
    <t>Education</t>
  </si>
  <si>
    <t>Trey Research</t>
  </si>
  <si>
    <t>Other</t>
  </si>
  <si>
    <t>East</t>
  </si>
  <si>
    <t>West</t>
  </si>
  <si>
    <t>Excel-to-Word Document Automation Add-In</t>
  </si>
  <si>
    <t>Features</t>
  </si>
  <si>
    <t>Introduction</t>
  </si>
  <si>
    <t>Instructions</t>
  </si>
  <si>
    <t>To use this document:</t>
  </si>
  <si>
    <r>
      <t>1.</t>
    </r>
    <r>
      <rPr>
        <sz val="7"/>
        <color theme="1"/>
        <rFont val="Times New Roman"/>
        <family val="1"/>
      </rPr>
      <t xml:space="preserve">       </t>
    </r>
    <r>
      <rPr>
        <sz val="12"/>
        <color theme="1"/>
        <rFont val="Calibri"/>
        <family val="2"/>
        <scheme val="minor"/>
      </rPr>
      <t>Activate the add-in in this workbook (the data source) and in the desired destination document (either "AnalysisPlace Advanced Features.docx" or "AnalysisPlace Advanced Features.pptx").</t>
    </r>
  </si>
  <si>
    <r>
      <t>2.</t>
    </r>
    <r>
      <rPr>
        <sz val="7"/>
        <color theme="1"/>
        <rFont val="Times New Roman"/>
        <family val="1"/>
      </rPr>
      <t xml:space="preserve">       </t>
    </r>
    <r>
      <rPr>
        <sz val="12"/>
        <color theme="1"/>
        <rFont val="Calibri"/>
        <family val="2"/>
        <scheme val="minor"/>
      </rPr>
      <t>Make changes to any of the tan input cells in one or more of the desired worksheets</t>
    </r>
  </si>
  <si>
    <r>
      <t>3.</t>
    </r>
    <r>
      <rPr>
        <sz val="7"/>
        <color theme="1"/>
        <rFont val="Times New Roman"/>
        <family val="1"/>
      </rPr>
      <t xml:space="preserve">       </t>
    </r>
    <r>
      <rPr>
        <sz val="12"/>
        <color theme="1"/>
        <rFont val="Calibri"/>
        <family val="2"/>
        <scheme val="minor"/>
      </rPr>
      <t>“Submit Content” in the add-in</t>
    </r>
  </si>
  <si>
    <r>
      <t>4.</t>
    </r>
    <r>
      <rPr>
        <sz val="7"/>
        <color theme="1"/>
        <rFont val="Times New Roman"/>
        <family val="1"/>
      </rPr>
      <t xml:space="preserve">       </t>
    </r>
    <r>
      <rPr>
        <sz val="12"/>
        <color theme="1"/>
        <rFont val="Calibri"/>
        <family val="2"/>
        <scheme val="minor"/>
      </rPr>
      <t xml:space="preserve"> “Update Document” in the add-in the destination document add-in. You should be able to see the changes, based on your Excel modifications</t>
    </r>
  </si>
  <si>
    <t>To Submit/Update all the content, you must have a Registered account or higher. To only transfer some of the items, change the "Item Name Prefix" of some items (or delete un-needed content).</t>
  </si>
  <si>
    <t>You are welcome to modify and use the content in these documents for your own use.</t>
  </si>
  <si>
    <t>Compatibility *</t>
  </si>
  <si>
    <t>Section</t>
  </si>
  <si>
    <t>Worksheets (Data Source)</t>
  </si>
  <si>
    <t>Description</t>
  </si>
  <si>
    <t>Word Add-In</t>
  </si>
  <si>
    <t>Word Cloud Update</t>
  </si>
  <si>
    <t>Power Point</t>
  </si>
  <si>
    <t>Word API</t>
  </si>
  <si>
    <t>PPT API</t>
  </si>
  <si>
    <t>Text, Lists, and Paragraphs</t>
  </si>
  <si>
    <t>Texts &amp; Lists</t>
  </si>
  <si>
    <t>Excel-sourced text can be incorporated into documents in a variety of ways. This section shows how to: 
•  Add text to various document content types (titles, paragraphs, shapes, etc.)
•  Incorporate/update data within text
•  Dynamically create lists and paragraphs (based on Excel formulas)</t>
  </si>
  <si>
    <t>ü</t>
  </si>
  <si>
    <t>The add-in was designed to support a variety of table updating scenarios.
•  Source Excel data can be based on named ranges or tables (data tables)
•  Supports tables with merged cells
•  Tables automatically resize to match source (Excel) table size
•  Tables can be configured to hide rows if hidden in Excel
There 3 table types: Destination-formatted, Flex (Excel-formatted), and images of tables</t>
  </si>
  <si>
    <t>Destination-formatted Tables</t>
  </si>
  <si>
    <t>Formatting is applied in the destination (Word or PowerPoint) -- the update does not modify the table format, only the text/values</t>
  </si>
  <si>
    <t>Flex Tables (Excel Formatted)</t>
  </si>
  <si>
    <t>Flex Tables</t>
  </si>
  <si>
    <t>By default, tables are based on the Excel appearance
Fast updates, easy/flexible formatting options
Great for financial reports
Not supported in PowerPoint</t>
  </si>
  <si>
    <t>û</t>
  </si>
  <si>
    <t>Image of Ranges</t>
  </si>
  <si>
    <t>Range Image</t>
  </si>
  <si>
    <t>Transfers the image of the named range, just as it appears in Excel. The range can include SparkLines, product images, Maps, SmartArt, people photos, and Conditional Formatting in cells.</t>
  </si>
  <si>
    <t>Chart Images</t>
  </si>
  <si>
    <t>Essentially any chart type is supported and charts can contain a variety of added content (text, images, etc.)</t>
  </si>
  <si>
    <t>Shape Images</t>
  </si>
  <si>
    <t>Shapes</t>
  </si>
  <si>
    <t>Transfer any type of shape to your Word/PPT document: text boxes, lines, geometric shapes, SmartArt, WordArt, pictures/photos, icons, maps, and equations.</t>
  </si>
  <si>
    <t>Charts</t>
  </si>
  <si>
    <t>PivotTables</t>
  </si>
  <si>
    <t>Pivot</t>
  </si>
  <si>
    <t>PivotTables can be transferred as Flex Tables, Destination Tables, or Images</t>
  </si>
  <si>
    <t>HTML</t>
  </si>
  <si>
    <t>Enables inserting HTML content into Word. Format text (bold, colors), add hyperlinks, insert images from URLs, etc. The HTML can be created dynamically.</t>
  </si>
  <si>
    <t>Layout Options</t>
  </si>
  <si>
    <t>Misc</t>
  </si>
  <si>
    <t>Dynamic content can be incorporated in a variety of ways (not just in-line), enabling great-looking documents/presentations.</t>
  </si>
  <si>
    <t>Conditional Content (Document Assembly)</t>
  </si>
  <si>
    <t>Conditional Content</t>
  </si>
  <si>
    <t>Describes how the add-in can include/exclude document sections, similar to "Document Assembly". Conditional Content automatically removes un-needed Word sections or PowerPoint slides.</t>
  </si>
  <si>
    <t>Mail Merge</t>
  </si>
  <si>
    <t>Shows how to quickly update multiple documents (one at a time) based on a table or database of information. Typically each row/record would contain data to update each document.</t>
  </si>
  <si>
    <t>Conditional Submit</t>
  </si>
  <si>
    <t>Methods to control what data is submitted from Excel: change the Item Name Prefix, Find &amp; Replace, and Conditional Submit (control the Prefix via formula)</t>
  </si>
  <si>
    <t>Not Applicable
Related to Excel</t>
  </si>
  <si>
    <t>Currency Switching</t>
  </si>
  <si>
    <t>Currency</t>
  </si>
  <si>
    <t xml:space="preserve">Shows how to change currency symbols and exchange rates in your Excel and destination documents </t>
  </si>
  <si>
    <t>Language Switching</t>
  </si>
  <si>
    <t>Language</t>
  </si>
  <si>
    <t>Shows how to switch languages. Typically users have a destination document for each language and Excel is used to update the dynamic content in the destination document.</t>
  </si>
  <si>
    <t>Import Data (getting data into Excel)</t>
  </si>
  <si>
    <t xml:space="preserve">Users commonly import data from external sources into Excel, so it can then be analyzed and updated in Word and PowerPoint documents. Common data sources include: web site data; databases; Azure; CRM/ERP systems, such as Salesforce; other Excel workbooks, web services, XML/JSON data, etc. </t>
  </si>
  <si>
    <t>*Compatibility</t>
  </si>
  <si>
    <r>
      <rPr>
        <b/>
        <sz val="11"/>
        <color theme="1"/>
        <rFont val="Calibri"/>
        <family val="2"/>
        <scheme val="minor"/>
      </rPr>
      <t>Word Cloud</t>
    </r>
    <r>
      <rPr>
        <sz val="11"/>
        <color theme="1"/>
        <rFont val="Calibri"/>
        <family val="2"/>
        <scheme val="minor"/>
      </rPr>
      <t xml:space="preserve"> </t>
    </r>
    <r>
      <rPr>
        <b/>
        <sz val="11"/>
        <color theme="1"/>
        <rFont val="Calibri"/>
        <family val="2"/>
        <scheme val="minor"/>
      </rPr>
      <t>Update</t>
    </r>
    <r>
      <rPr>
        <sz val="11"/>
        <color theme="1"/>
        <rFont val="Calibri"/>
        <family val="2"/>
        <scheme val="minor"/>
      </rPr>
      <t xml:space="preserve"> refers to updates occurring on our servers to a copy of your document or template.</t>
    </r>
  </si>
  <si>
    <r>
      <rPr>
        <b/>
        <sz val="11"/>
        <color theme="1"/>
        <rFont val="Calibri"/>
        <family val="2"/>
        <scheme val="minor"/>
      </rPr>
      <t>API</t>
    </r>
    <r>
      <rPr>
        <sz val="11"/>
        <color theme="1"/>
        <rFont val="Calibri"/>
        <family val="2"/>
        <scheme val="minor"/>
      </rPr>
      <t xml:space="preserve"> updates are performed on our servers and the results/compatibility are similar to Word Cloud Update and PowerPoint above.</t>
    </r>
  </si>
  <si>
    <t>Excel-sourced text can be incorporated into documents in a variety of ways. This sheet shows how to combine data with text and how to create lists.</t>
  </si>
  <si>
    <t>Inputs</t>
  </si>
  <si>
    <t>Client Name</t>
  </si>
  <si>
    <t>Customer XYZ</t>
  </si>
  <si>
    <t>r_ClientName</t>
  </si>
  <si>
    <t>Combining Data and Text</t>
  </si>
  <si>
    <t>Data can easily be combined with text using the text() formula. See below for an example.</t>
  </si>
  <si>
    <t>r_savingsText</t>
  </si>
  <si>
    <t>Documents can contain hundreds+ of linked text items.</t>
  </si>
  <si>
    <t>Line Breaks/Returns</t>
  </si>
  <si>
    <t>Alt-Enter to add line breaks</t>
  </si>
  <si>
    <t>Lists and Paragraphs</t>
  </si>
  <si>
    <t>This section creates feature lists. Content in the 'r_textSection' cells will be transferred to Word or PowerPoint and will appear as lists of the items selected with a 'y'. This is commonly used in solution configurators (CPQ workbooks). This technique can also be used to update multiple formula-generated paragraphs (e.g. for contracts).</t>
  </si>
  <si>
    <t>Include?</t>
  </si>
  <si>
    <t>RangeName (Link Code)</t>
  </si>
  <si>
    <t>Section 1</t>
  </si>
  <si>
    <t>Project Summary</t>
  </si>
  <si>
    <t>r_textTitle1</t>
  </si>
  <si>
    <t>Summary</t>
  </si>
  <si>
    <t>y</t>
  </si>
  <si>
    <t>Timeline</t>
  </si>
  <si>
    <t>Customer will be happy.</t>
  </si>
  <si>
    <t>No</t>
  </si>
  <si>
    <t>Company will be successful</t>
  </si>
  <si>
    <t>r_textSection1</t>
  </si>
  <si>
    <t>Section 2</t>
  </si>
  <si>
    <t>Project Scope</t>
  </si>
  <si>
    <t>r_textTitle2</t>
  </si>
  <si>
    <t>Scope</t>
  </si>
  <si>
    <t>Basic Features</t>
  </si>
  <si>
    <t>Management Module</t>
  </si>
  <si>
    <t>Advanced Features</t>
  </si>
  <si>
    <t>Implementation Services</t>
  </si>
  <si>
    <t>Maintenance</t>
  </si>
  <si>
    <t>Support Services</t>
  </si>
  <si>
    <t>r_textSection2</t>
  </si>
  <si>
    <t>Legal Details</t>
  </si>
  <si>
    <t>r_textTitle3</t>
  </si>
  <si>
    <t>Lorem ipsum dolor sit amet, ei cum apeirian voluptaria. Lorem debitis liberavisse ex cum, fugit consulatu consequuntur eam eu. Te sea oratio utinam qualisque, inani numquam eruditi quo ei. Choro fierent cu eos, ex omnis eruditi nec. Graece consetetur consectetuer qui an.</t>
  </si>
  <si>
    <t>Eu vim fuisset corrumpit, fabellas periculis pro at. Labores tractatos voluptaria eos ea, mel semper deserunt ut. Usu melius aperiri id, sit cu omnis blandit, id dicta quando volumus per. Id phaedrum mediocrem dissentias eum, an sed ullum equidem. Tota persecuti ex sea, aliquip ancillae percipitur est ut. An nihil admodum hendrerit pro, per id percipit disputando.</t>
  </si>
  <si>
    <t>Ut ludus omittam mea, eu has harum cotidieque, te per libris minimum rationibus. Dolore vituperata honestatis vim ei, erat decore blandit ea usu. Vero invenire eos ne, duo ea oporteat scribentur, essent volutpat eum ei. Ex eos ceteros invenire, timeam omnesque constituam ut mea. Cum integre epicurei comprehensam et, an cum iudico nominati interesset. Cu nam sanctus laoreet, ad ignota tibique tacimates eum.</t>
  </si>
  <si>
    <t>NO</t>
  </si>
  <si>
    <t>Aeque abhorreant sit ne. Noster invidunt ad sed. At nec dicant officiis evertitur, unum atqui no sed. No oratio graece phaedrum duo, te tota aliquid expetendis vim, ex duo ornatus torquatos. Fastidii instructior at qui, munere graeci torquatos et vim.</t>
  </si>
  <si>
    <t>Quas nonumes fuisset te pro, mei ad dolores vivendum, vim ei tantas dolorem. Id mentitum qualisque sit. Id mel quot delectus. Tibique perpetua vix te, vim assum senserit cu. At his quis sumo simul, apeirian forensibus eam ut. At sale repudiandae mel, vis cu ullum placerat iracundia. In vis quis labores apeirian, liber tempor qui cu, sea ut graeci instructior consectetuer.</t>
  </si>
  <si>
    <t>Ex ius posse vivendo. Ea per quod scripta. Lucilius lobortis ei quo, ei zril maiestatis percipitur vel. Iudico suscipit sit te, patrioque deseruisse mnesarchum pri no, sea cu movet labitur accusam. Est homero apeirian concludaturque et.</t>
  </si>
  <si>
    <t>r_textSection3</t>
  </si>
  <si>
    <t>Footer</t>
  </si>
  <si>
    <t>Text in headers and footers can also be updated.</t>
  </si>
  <si>
    <t>Footer (Word), Master (PowerPoint)</t>
  </si>
  <si>
    <t>r_footer</t>
  </si>
  <si>
    <r>
      <t xml:space="preserve">The add-in allows you to update Word and PowerPoint tables in 3 ways: 1. </t>
    </r>
    <r>
      <rPr>
        <b/>
        <sz val="12"/>
        <color theme="1"/>
        <rFont val="Calibri"/>
        <family val="2"/>
        <scheme val="minor"/>
      </rPr>
      <t>Destination-formatted</t>
    </r>
    <r>
      <rPr>
        <sz val="12"/>
        <color theme="1"/>
        <rFont val="Calibri"/>
        <family val="2"/>
        <scheme val="minor"/>
      </rPr>
      <t xml:space="preserve"> tables, 2. Excel-formatted (</t>
    </r>
    <r>
      <rPr>
        <b/>
        <sz val="12"/>
        <color theme="1"/>
        <rFont val="Calibri"/>
        <family val="2"/>
        <scheme val="minor"/>
      </rPr>
      <t>Flex</t>
    </r>
    <r>
      <rPr>
        <sz val="12"/>
        <color theme="1"/>
        <rFont val="Calibri"/>
        <family val="2"/>
        <scheme val="minor"/>
      </rPr>
      <t xml:space="preserve">) tables, and 3. Via an </t>
    </r>
    <r>
      <rPr>
        <b/>
        <sz val="12"/>
        <color theme="1"/>
        <rFont val="Calibri"/>
        <family val="2"/>
        <scheme val="minor"/>
      </rPr>
      <t>image</t>
    </r>
    <r>
      <rPr>
        <sz val="12"/>
        <color theme="1"/>
        <rFont val="Calibri"/>
        <family val="2"/>
        <scheme val="minor"/>
      </rPr>
      <t xml:space="preserve"> of the source range/table. </t>
    </r>
  </si>
  <si>
    <t>How to Change the Formatting Control</t>
  </si>
  <si>
    <r>
      <t>In the Excel add-in, on the '</t>
    </r>
    <r>
      <rPr>
        <b/>
        <sz val="12"/>
        <color theme="1"/>
        <rFont val="Calibri"/>
        <family val="2"/>
        <scheme val="minor"/>
      </rPr>
      <t>List</t>
    </r>
    <r>
      <rPr>
        <sz val="12"/>
        <color theme="1"/>
        <rFont val="Calibri"/>
        <family val="2"/>
        <scheme val="minor"/>
      </rPr>
      <t>' tab, select '</t>
    </r>
    <r>
      <rPr>
        <b/>
        <sz val="12"/>
        <color theme="1"/>
        <rFont val="Calibri"/>
        <family val="2"/>
        <scheme val="minor"/>
      </rPr>
      <t>List/Manage Items</t>
    </r>
    <r>
      <rPr>
        <sz val="12"/>
        <color theme="1"/>
        <rFont val="Calibri"/>
        <family val="2"/>
        <scheme val="minor"/>
      </rPr>
      <t>', then select the desired item, then choose one of the 3 options for '</t>
    </r>
    <r>
      <rPr>
        <b/>
        <sz val="12"/>
        <color theme="1"/>
        <rFont val="Calibri"/>
        <family val="2"/>
        <scheme val="minor"/>
      </rPr>
      <t>Formatting Control</t>
    </r>
    <r>
      <rPr>
        <sz val="12"/>
        <color theme="1"/>
        <rFont val="Calibri"/>
        <family val="2"/>
        <scheme val="minor"/>
      </rPr>
      <t>' under '</t>
    </r>
    <r>
      <rPr>
        <b/>
        <sz val="12"/>
        <color theme="1"/>
        <rFont val="Calibri"/>
        <family val="2"/>
        <scheme val="minor"/>
      </rPr>
      <t>Selected Item</t>
    </r>
    <r>
      <rPr>
        <sz val="12"/>
        <color theme="1"/>
        <rFont val="Calibri"/>
        <family val="2"/>
        <scheme val="minor"/>
      </rPr>
      <t>'</t>
    </r>
  </si>
  <si>
    <t>Note: In Word, you can switch between Flex and Dest. However, to switch to/from an image of the table, you need to re-insert the item.</t>
  </si>
  <si>
    <t>Example</t>
  </si>
  <si>
    <t>You can experiment with the 3 Formatting Controls and changing the format below (for Flex and Image) and the Word/PPT table (for Dest)</t>
  </si>
  <si>
    <t>Column 1</t>
  </si>
  <si>
    <t>Column 2</t>
  </si>
  <si>
    <t>Row 1</t>
  </si>
  <si>
    <t>Red</t>
  </si>
  <si>
    <t>Row 2</t>
  </si>
  <si>
    <t>Verdana Pro Font</t>
  </si>
  <si>
    <t>Range Name above = r_TableComparison</t>
  </si>
  <si>
    <t>Detailed Comparison of Table Types</t>
  </si>
  <si>
    <t>The table below compares the 3 formatting control methods.</t>
  </si>
  <si>
    <t>Tables (Destination-formatted)</t>
  </si>
  <si>
    <t>Flex tables (Excel-formatted)</t>
  </si>
  <si>
    <t>Table images</t>
  </si>
  <si>
    <t>The original (and default) table type
Only transfers the table text content from Excel, not formatting
Formatting is applied in the destination (Word or PowerPoint) -- the update does not modify the format</t>
  </si>
  <si>
    <t>Flexible formatting options
Allow updating of Word tables with Excel-formatting
Fast
Great for financial reports
Not supported in PowerPoint
Easy to format</t>
  </si>
  <si>
    <t>Transfers an exact image of the Excel range/table
Can result in large files sizes</t>
  </si>
  <si>
    <t>How it Works</t>
  </si>
  <si>
    <t>Only the Excel table text/values are transferred to Word/PowerPoint. The text is updated in the destination table, but the table format is not modified. The add-in resizes the destination table (by inserting/deleting rows/columns) to match the size of the Excel table/range.</t>
  </si>
  <si>
    <t>Tables (including format) are created in Excel and replace the Word table during the update.</t>
  </si>
  <si>
    <t>The Excel add-in creates an image of the range which replaces the Word/PowerPoint image</t>
  </si>
  <si>
    <t>How to Add and Configure</t>
  </si>
  <si>
    <r>
      <t xml:space="preserve">This is the initial default
Or switch Formatting Control to </t>
    </r>
    <r>
      <rPr>
        <b/>
        <sz val="12"/>
        <color theme="1"/>
        <rFont val="Calibri"/>
        <family val="2"/>
        <scheme val="minor"/>
      </rPr>
      <t>Dest</t>
    </r>
    <r>
      <rPr>
        <sz val="12"/>
        <color theme="1"/>
        <rFont val="Calibri"/>
        <family val="2"/>
        <scheme val="minor"/>
      </rPr>
      <t xml:space="preserve">
See "Dest" sheet for details</t>
    </r>
  </si>
  <si>
    <r>
      <t xml:space="preserve">Formatting Control: </t>
    </r>
    <r>
      <rPr>
        <b/>
        <sz val="12"/>
        <color theme="1"/>
        <rFont val="Calibri"/>
        <family val="2"/>
        <scheme val="minor"/>
      </rPr>
      <t>Flex</t>
    </r>
    <r>
      <rPr>
        <sz val="12"/>
        <color theme="1"/>
        <rFont val="Calibri"/>
        <family val="2"/>
        <scheme val="minor"/>
      </rPr>
      <t xml:space="preserve">
See "Flex" sheet for details</t>
    </r>
  </si>
  <si>
    <r>
      <t xml:space="preserve">Formatting Control: </t>
    </r>
    <r>
      <rPr>
        <b/>
        <sz val="12"/>
        <color theme="1"/>
        <rFont val="Calibri"/>
        <family val="2"/>
        <scheme val="minor"/>
      </rPr>
      <t>Image</t>
    </r>
    <r>
      <rPr>
        <sz val="12"/>
        <color theme="1"/>
        <rFont val="Calibri"/>
        <family val="2"/>
        <scheme val="minor"/>
      </rPr>
      <t xml:space="preserve">
OR append the name with "_img" 
See "Image" sheet for details</t>
    </r>
  </si>
  <si>
    <t>Compatibitliy</t>
  </si>
  <si>
    <t>No limits (works in Word &amp; PowerPoint; Windows, Macs &amp; Online; Add-in &amp; Cloud updates)</t>
  </si>
  <si>
    <t>Word only (also works with Cloud/template updates and the API)</t>
  </si>
  <si>
    <t>Not directly compatible with Macs (see workaround)^1</t>
  </si>
  <si>
    <t>Size in desination file</t>
  </si>
  <si>
    <t>Small</t>
  </si>
  <si>
    <t>Small-Medium</t>
  </si>
  <si>
    <t>Large transfer and file sizes</t>
  </si>
  <si>
    <t>Update speed</t>
  </si>
  <si>
    <t>Word add-in updates can be slow for large tables
Cloud updates are fast</t>
  </si>
  <si>
    <t>Fast: can update dozens of large tables in seconds</t>
  </si>
  <si>
    <t>Fast</t>
  </si>
  <si>
    <t>Formatting</t>
  </si>
  <si>
    <t>Uses destination format (only updates text)
Table format can be modified in Word/PPT
3 insert/link options (with 1 "Insert Content / Update Link" button):
If no table is selected, the add-in inserts a new table
If existing table is selected (with your format), it links it
If you want it to look like Excel: copy the range/table from Excel, then past into Word/PowerPoint with source format, then link</t>
  </si>
  <si>
    <t>Can use source (Excel) or specified table format or mix
Changes to table format in Word will be over-written by update
Table Styles not applied ^2</t>
  </si>
  <si>
    <t>Appears the same as it does in Excel
See fix for missing borders ^1</t>
  </si>
  <si>
    <t>Merged Cells</t>
  </si>
  <si>
    <t>Yes, with limits</t>
  </si>
  <si>
    <t>Yes</t>
  </si>
  <si>
    <t>Excel Named Ranges</t>
  </si>
  <si>
    <t>Excel Tables (Data Tables)</t>
  </si>
  <si>
    <t>Yes (Table Styles are ignored ^2)</t>
  </si>
  <si>
    <t>Yes (PivotTable Styles are ignored ^2)</t>
  </si>
  <si>
    <t>Conditional Formatting</t>
  </si>
  <si>
    <t>HTML Formatting</t>
  </si>
  <si>
    <t>Yes - cells can contain HTML content</t>
  </si>
  <si>
    <t>Works with Cloud Updates (including Personal and Business templates)</t>
  </si>
  <si>
    <t>Yes (inserts line break after the table)</t>
  </si>
  <si>
    <t>Table re-sizing</t>
  </si>
  <si>
    <t>Yes, it inserts/deletes rows/columns to match the Excel table size. There are limits ^3</t>
  </si>
  <si>
    <t>Yes - it recreates and replaces the destination (Word) table</t>
  </si>
  <si>
    <t>Yes - it replaces the destination image</t>
  </si>
  <si>
    <t>Appropriate for large financial tables and reports</t>
  </si>
  <si>
    <t>Not likely (slow, formating limitations)
May be good for Cloud Updates (incl templates)</t>
  </si>
  <si>
    <t>No (large file sizes)</t>
  </si>
  <si>
    <t>Potential Issues</t>
  </si>
  <si>
    <t>Slow update speeds for large tables
Formatting limitations ^3</t>
  </si>
  <si>
    <t>Requires some content between tables ^4
Cloud updates insert a line break after the table
Office Online limitations ^5</t>
  </si>
  <si>
    <t>Low resolution &gt; make font larger in Excel
Large file size
1px border often cut off (see Image sheet)</t>
  </si>
  <si>
    <t>^1 Table images Mac and borders workaround: in Excel: copy the range, paste it as a "Linked Picture", then name that shape (starting with your prefix)</t>
  </si>
  <si>
    <t>^2 When using Excel Tables (e.g. "Format as Table"), as opposed to named ranges, the Table Syles are ignored. You must explicitly apply formats (font color/size, background, borders, etc.) to appear in the Word table. All formats applied to named ranges can appear in the Word table. PivotTables work the same way as Excel Tables.</t>
  </si>
  <si>
    <t>^3 Dest Table formatting limitations: The add-in inserts/deletes rows/columns (before the last row/column) to match the Excel table size. Uses the next-to-the-last row/column as the style template. With complex formatting when resizing is needed, it may insert/delete row at wrong location resulting in misplaced/offset row formats.</t>
  </si>
  <si>
    <t>Also, the add-in can't resize both columns and rows in 1 update (though Cloud Updates can).</t>
  </si>
  <si>
    <t>^4 Word requires some content (e.g. a line break) after a Flex table if there is another table (any type) directly below it</t>
  </si>
  <si>
    <t>^5 Office Online may experience other issues, such as some appearance differences and some other incompatibilities. Office on Windows or Macs is recommended for Flex tables.</t>
  </si>
  <si>
    <t>General Table Tips</t>
  </si>
  <si>
    <t>The add-in was designed to update Word/PowerPoint tables from Excel tables and ranges for a wide variety of usage scenarios, including updating of large/complex tables, such as financial reports. 
This worksheet describes/demos key table features. Also see the companion Word or PowerPoint documents for additional instructions.</t>
  </si>
  <si>
    <t>Source Excel data can be based on named ranges or tables (data tables). They both can update Word/PowerPoint tables the same way. The first and third examples below use named ranges, the second uses a Table (Data Table).</t>
  </si>
  <si>
    <t>Table Based on a Named Range</t>
  </si>
  <si>
    <t>Excel Named Ranges can be created/managed via native Excel features (the Name Box to the left of the formula bar and the Name Manager) or via the “List” tab of the add-in under “How to Name Content”.</t>
  </si>
  <si>
    <t>The table below demonstrates 2 table features: Merged Cells and Disable Specific Cell Changes:</t>
  </si>
  <si>
    <t xml:space="preserve">The add-in supports most Word/PowerPoint table merged cell scenarios.
There are some limitations in matching columns. </t>
  </si>
  <si>
    <t>Merging cells in Excel is not necessary -- the hidden part of a merged area has the same effect as an empty cell.  Also, you cannot merge cells in an Excel “Table” (you can merge cells in a named range).</t>
  </si>
  <si>
    <t xml:space="preserve"> </t>
  </si>
  <si>
    <t>Initial One-Time</t>
  </si>
  <si>
    <t>Annual On-Going</t>
  </si>
  <si>
    <t>Units</t>
  </si>
  <si>
    <t>Qty</t>
  </si>
  <si>
    <t>Cost Each</t>
  </si>
  <si>
    <t>3-Year Total</t>
  </si>
  <si>
    <t>Product A User Licenses</t>
  </si>
  <si>
    <t>!~Licenses</t>
  </si>
  <si>
    <t>Product A Server Licenses</t>
  </si>
  <si>
    <t>!~Server CPUs</t>
  </si>
  <si>
    <t>!~Person-days</t>
  </si>
  <si>
    <t>!~Days</t>
  </si>
  <si>
    <t>!~Incidents</t>
  </si>
  <si>
    <t>!~Total</t>
  </si>
  <si>
    <t>Range Name above = r_NamedRange</t>
  </si>
  <si>
    <t>Advanced: Disable Specific Cell Changes (rarely needed)</t>
  </si>
  <si>
    <t>To avoid updating individual table cells in Word/PowerPoint tables:  In the desired table cell in Excel, enter a "!~" (without the quotes) at the start of your cell text/formula. Or use UNICHAR(8205) at the start of your formula (which is an invisible character). The Word/PowerPoint add-in will not update cells if the source cell text from Excel starts with one of those characters.
This is useful to avoid updating content that will never change or if you have cells with mixed formatting that you do not want to be replaced.
It is also useful for multi-lingual reports/outputs -- if you have a single Excel workbook/tool and multiple output reports (one for each language). This will enable you to update the numbers in Word/PowerPoint tables without overwriting the text (e.g. row/column headers) in the cells. For cells that contain mixed numbers and text, you could add the multi-lingual text to formulas based on lookups.</t>
  </si>
  <si>
    <t>Table Based on a "Data Table"</t>
  </si>
  <si>
    <t>To create an excel Table (Data Table), select the range of cells, then Styles &gt; Format as Table (or Insert &gt; Table) from the Excel ribbon. To name the table: select the table, Table Tools &gt; Design &gt; Properties &gt; Table Name. The name must start with the prefix.</t>
  </si>
  <si>
    <t>Learn More about Excel tables: https://support.office.com/en-us/article/overview-of-excel-tables-7ab0bb7d-3a9e-4b56-a3c9-6c94334e492c?ui=en-US&amp;rs=en-US&amp;ad=US</t>
  </si>
  <si>
    <t>Hide Table Rows</t>
  </si>
  <si>
    <t>To include only visible rows/columns: in Excel, add the suffix "_visible" (or "_vis") after the range or table name. Hidden, filtered, or grouped rows will not appear in your Word/PowerPoint table. Can be combined with _body. 
The table below demonstrates this – the 'Category' column is filtered; which hides rows.  Because the table name ends with '_vis', only the visible rows/columns will be transferred to Word/PPT. The Word/PPT table will automatically be resized to match the Excel table.</t>
  </si>
  <si>
    <t>in Word:</t>
  </si>
  <si>
    <t>Table Name='r_Table_vis'</t>
  </si>
  <si>
    <t>To Transfer Table Body Content Only</t>
  </si>
  <si>
    <t>Add the suffix "_body" to only include data in the body (header row will be ignored).</t>
  </si>
  <si>
    <t>3 Ways to Add/Link Tables in Word/PPT</t>
  </si>
  <si>
    <r>
      <t>All 3 methods are done using the "</t>
    </r>
    <r>
      <rPr>
        <b/>
        <sz val="12"/>
        <color theme="1"/>
        <rFont val="Calibri"/>
        <family val="2"/>
        <scheme val="minor"/>
      </rPr>
      <t>Insert Content / Update Link</t>
    </r>
    <r>
      <rPr>
        <sz val="12"/>
        <color theme="1"/>
        <rFont val="Calibri"/>
        <family val="2"/>
        <scheme val="minor"/>
      </rPr>
      <t>" button in Word</t>
    </r>
  </si>
  <si>
    <t>Insert new table</t>
  </si>
  <si>
    <t>If no content is selected, then a new table (with default Word format) will be inserted. You can then format it as desired</t>
  </si>
  <si>
    <t>Copy/Paste range from Excel</t>
  </si>
  <si>
    <t>Copy range from Excel, then paste into Word/PPT, then Link it. It will look the same as the range in Excel</t>
  </si>
  <si>
    <t>Link existing table</t>
  </si>
  <si>
    <t>Select the Word table, then link it. The row/column count and merged cells should be similar</t>
  </si>
  <si>
    <t>You can also copy/paste tables (with your desired format) within Word/PPT, then update the link</t>
  </si>
  <si>
    <t>Automatic Table Resizing (Insert/Delete Rows/Columns)</t>
  </si>
  <si>
    <t>The add-in will try to resize Word/PowerPoint tables to match the size of the source Excel table/range. For example, if the Excel table has 7 rows and the Word table has 4, the add-in will insert 3 rows. The next-to-the-last row/column will be used for the format template for the inserted rows/columns.</t>
  </si>
  <si>
    <t>Rows/columns are inserted/deleted at the next-to-last row/column. This is important to understand to explain formatting changes. For example, if a table has subtotals with bold/underline formatting and a row was inserted near the top, the formatting will no longer be aligned as expected (the subtotal-formatted rows will be 1 row higher than the total values).</t>
  </si>
  <si>
    <t>Dynamically resized ranges (ranges that change size based on a formula) are not supported – ranges/tables must be resized manually (by adding data, deleting rows, etc.) or using some other automation method, such as VBA.</t>
  </si>
  <si>
    <t>Simple Financial Statement</t>
  </si>
  <si>
    <t>This example demonstrates that the destination content appearance can be very different from the source Excel format.</t>
  </si>
  <si>
    <t>% of Revenue</t>
  </si>
  <si>
    <t>Total Revenue</t>
  </si>
  <si>
    <t>Cost of Revenue</t>
  </si>
  <si>
    <t>Gross Profit</t>
  </si>
  <si>
    <t>Research and Development</t>
  </si>
  <si>
    <t>Sales, General and Admin.</t>
  </si>
  <si>
    <t>Non-Recurring Items</t>
  </si>
  <si>
    <t>Other Operating Items</t>
  </si>
  <si>
    <t>Operating Income</t>
  </si>
  <si>
    <t>Add'l income/expense items</t>
  </si>
  <si>
    <t>Earnings Before Interest and Tax</t>
  </si>
  <si>
    <t>Interest Expense</t>
  </si>
  <si>
    <t>Earnings Before Tax</t>
  </si>
  <si>
    <t>Income Tax</t>
  </si>
  <si>
    <t>Net Income</t>
  </si>
  <si>
    <t>Table Name='r_Financials'</t>
  </si>
  <si>
    <t>Flex Tables (Excel-Formatted)</t>
  </si>
  <si>
    <t>Flex Tables update Word tables based on the Excel range's appearance/formatting
Flex tables are:
- Easy to format, have flexible formatting options, and are fast to update
- Great for financial reports
- Not supported in PowerPoint</t>
  </si>
  <si>
    <t>Tables (including format) are created in Excel and replace the corresponding Word tables.</t>
  </si>
  <si>
    <t>Format Table as Flex</t>
  </si>
  <si>
    <t>Destination-formatted tables are the default table formatting control. To switch a range/table/PivotTable to Flex: In the Excel add-in, on the List tab, "List/Manage Items", select the desired item, then change the Formatting Control to "Flex"</t>
  </si>
  <si>
    <t>Financial Tables</t>
  </si>
  <si>
    <t>RangeName: r_IncomeStatement</t>
  </si>
  <si>
    <t>Income Statement</t>
  </si>
  <si>
    <t>US$000</t>
  </si>
  <si>
    <t>current year</t>
  </si>
  <si>
    <t xml:space="preserve">      prior year</t>
  </si>
  <si>
    <t>Revenue</t>
  </si>
  <si>
    <t>Gross sales</t>
  </si>
  <si>
    <t>Less: sales returns</t>
  </si>
  <si>
    <t>Less: Discounts and Allowances</t>
  </si>
  <si>
    <t>Goods manufactured: Raw materials</t>
  </si>
  <si>
    <t>Goods manufactured: Direct Labor</t>
  </si>
  <si>
    <t>Overhead</t>
  </si>
  <si>
    <t>Total Cost of Goods Sold</t>
  </si>
  <si>
    <t>Gross Profit (Loss)</t>
  </si>
  <si>
    <t>Advertising</t>
  </si>
  <si>
    <t>Delivery/Freight Expense</t>
  </si>
  <si>
    <t>Insurance</t>
  </si>
  <si>
    <t>Interest</t>
  </si>
  <si>
    <t>Mileage</t>
  </si>
  <si>
    <t>Office Supplies</t>
  </si>
  <si>
    <t>Rent/Lease</t>
  </si>
  <si>
    <t>Maintenance and Repairs</t>
  </si>
  <si>
    <t>Travel</t>
  </si>
  <si>
    <t>Utilities/Telephone Expenses</t>
  </si>
  <si>
    <t>Wages</t>
  </si>
  <si>
    <t>Other Expenses</t>
  </si>
  <si>
    <t>Total Operating Expenses</t>
  </si>
  <si>
    <t>Operating Profit (Loss)</t>
  </si>
  <si>
    <t>Interest Income</t>
  </si>
  <si>
    <t>Other Income</t>
  </si>
  <si>
    <t>Profit (Loss) Before Taxes</t>
  </si>
  <si>
    <t>Less: Tax Expense</t>
  </si>
  <si>
    <t>Net Profit (Loss)</t>
  </si>
  <si>
    <t>Titles in Columns</t>
  </si>
  <si>
    <t>If you use titles in narrow columns that overlap onto adjacent cells, merge the cells</t>
  </si>
  <si>
    <t>Section 1a</t>
  </si>
  <si>
    <t>Content</t>
  </si>
  <si>
    <t>data</t>
  </si>
  <si>
    <t>Section 2a</t>
  </si>
  <si>
    <t>Range Name above = r_TitlesInColumns</t>
  </si>
  <si>
    <t>HTML in Cells</t>
  </si>
  <si>
    <t>You can include HTML content in Flex table cells. The HTML can be dynamic (based on logic/formulas)</t>
  </si>
  <si>
    <t>Formatted text (could be dynamic)</t>
  </si>
  <si>
    <t>Text with &lt;b&gt;Bold&lt;/b&gt;, &lt;u&gt;Underlined&lt;/u&gt;, &lt;span style="color:red"&gt;Red&lt;span&gt;</t>
  </si>
  <si>
    <t>Images (could select different images based on scenario/logic)</t>
  </si>
  <si>
    <t>Conditional Formatting, HyperLinks, lists, and many other possibilities</t>
  </si>
  <si>
    <t>&lt;p&gt;Ordered List:&lt;/p&gt;&lt;p&gt;&lt;ol&gt;&lt;li&gt;Coffee&lt;/li&gt;&lt;li&gt;Tea&lt;/li&gt;&lt;li&gt;Milk&lt;/li&gt;&lt;/ol&gt;&lt;/p&gt;&lt;p&gt;UnOrdered List:&lt;/p&gt;&lt;p&gt;&lt;ul&gt;&lt;li&gt;Coffee&lt;/li&gt;&lt;li&gt;Tea&lt;/li&gt;&lt;li&gt;Milk&lt;/li&gt;&lt;/ul&gt;&lt;/p&gt;&lt;p&gt;&amp;nbsp;&amp;nbsp;&lt;/p&gt;</t>
  </si>
  <si>
    <t>Range Name = r_FlexHTML</t>
  </si>
  <si>
    <t>Flex Table Tips</t>
  </si>
  <si>
    <t>Paragraphs: Alt-Enter to separate lines</t>
  </si>
  <si>
    <t>Paragraph 1
Paragraph 2
Paragraph 3</t>
  </si>
  <si>
    <t>Line breaks Without extra paragraph line spacing: add &lt;/br&gt;</t>
  </si>
  <si>
    <t>Line 1&lt;/br&gt;Line 2&lt;/br&gt;Line 3</t>
  </si>
  <si>
    <t>Flex Table Properties</t>
  </si>
  <si>
    <r>
      <t xml:space="preserve">On the </t>
    </r>
    <r>
      <rPr>
        <b/>
        <sz val="12"/>
        <color theme="1"/>
        <rFont val="Calibri"/>
        <family val="2"/>
        <scheme val="minor"/>
      </rPr>
      <t>List</t>
    </r>
    <r>
      <rPr>
        <sz val="12"/>
        <color theme="1"/>
        <rFont val="Calibri"/>
        <family val="2"/>
        <scheme val="minor"/>
      </rPr>
      <t xml:space="preserve"> tab of the add-in, under '</t>
    </r>
    <r>
      <rPr>
        <b/>
        <sz val="12"/>
        <color theme="1"/>
        <rFont val="Calibri"/>
        <family val="2"/>
        <scheme val="minor"/>
      </rPr>
      <t>Manage Linkable Content</t>
    </r>
    <r>
      <rPr>
        <sz val="12"/>
        <color theme="1"/>
        <rFont val="Calibri"/>
        <family val="2"/>
        <scheme val="minor"/>
      </rPr>
      <t>', '</t>
    </r>
    <r>
      <rPr>
        <b/>
        <sz val="12"/>
        <color theme="1"/>
        <rFont val="Calibri"/>
        <family val="2"/>
        <scheme val="minor"/>
      </rPr>
      <t>List/Manage Items</t>
    </r>
    <r>
      <rPr>
        <sz val="12"/>
        <color theme="1"/>
        <rFont val="Calibri"/>
        <family val="2"/>
        <scheme val="minor"/>
      </rPr>
      <t>'</t>
    </r>
  </si>
  <si>
    <t>In the add-in: hover over underlined words for help text</t>
  </si>
  <si>
    <t>This feature transfers the image (PNG) of the named range, just as it looks in Excel.
Name the cell or range of cells (starting with the prefix and ending with "_img"). Include any content in the range (conditional formatting, sparklines, images, shapes, text boxes, smart art, dynamic items, etc.) The image (PNG) of all content in the range will be transferred to your Word/Ppt document just the way it appears in Excel. 
Some users choose to transfer images of tables instead of updating text within each cell. This may be easier than formatting tables in Word/PowerPoint, however, it will significantly increase transfer size and will make the Word/PowerPoint file much larger.
Note: Currently, this is only compatible with Office for Windows. It is not compatible with Macs -- see below for workaround.  In Office Online, it only transfers content within the range (including conditional formatting), but not items added on top of the range (such as images).</t>
  </si>
  <si>
    <t>This example shows sparklines, conditional formatting, and a chart in a range. The source of the image below is a named range in Excel.</t>
  </si>
  <si>
    <t>Sales by Quarter</t>
  </si>
  <si>
    <t>Region</t>
  </si>
  <si>
    <t>Performance Trend</t>
  </si>
  <si>
    <t>Share</t>
  </si>
  <si>
    <t>Q1</t>
  </si>
  <si>
    <t>Q2</t>
  </si>
  <si>
    <t>Q3</t>
  </si>
  <si>
    <t>Q4</t>
  </si>
  <si>
    <t>North</t>
  </si>
  <si>
    <t>South</t>
  </si>
  <si>
    <t>r_Range_Img</t>
  </si>
  <si>
    <t>Fix for Border Cut-off and Mac limitation</t>
  </si>
  <si>
    <t>Border cut-off: often 1px along the left and top edges are cut off.</t>
  </si>
  <si>
    <t>Mac limitation: Image of Range is not compatible with Macs (colors are incorrect and image is mirrored)</t>
  </si>
  <si>
    <t>Original Range</t>
  </si>
  <si>
    <t>a</t>
  </si>
  <si>
    <t>b</t>
  </si>
  <si>
    <t>r_RangeImage_img</t>
  </si>
  <si>
    <t>Fixes</t>
  </si>
  <si>
    <t>Select the original range, copy, then paste as 'Linked Picture', then name the shape</t>
  </si>
  <si>
    <t>r_RangeImageBorderFix</t>
  </si>
  <si>
    <t xml:space="preserve">You may be able to achieve the same result using Chart Images by placing desired content on a blank chart. </t>
  </si>
  <si>
    <t>Another fix for the border cutoff issue is to avoid using borders on the top/left sides or add a thin transparent column and row at the top and left of the range</t>
  </si>
  <si>
    <t>Select a country from the the drop-down list. The flag of the selected country will appear below and that image will appear in the Word/PowerPoint document after the update. This technique can be used to select/update any image, such as product or user photos.</t>
  </si>
  <si>
    <t>Select Country:</t>
  </si>
  <si>
    <t>Albania</t>
  </si>
  <si>
    <t>r_CountryFlag</t>
  </si>
  <si>
    <t>Image on a blank chart:</t>
  </si>
  <si>
    <t>r_Flag_img</t>
  </si>
  <si>
    <t>Country</t>
  </si>
  <si>
    <t>Flag</t>
  </si>
  <si>
    <t>Afghanistan</t>
  </si>
  <si>
    <t>Algeria</t>
  </si>
  <si>
    <t>Andorra</t>
  </si>
  <si>
    <t>Image of Charts</t>
  </si>
  <si>
    <t>You can use essentially any type of chart/graph.
When charts are submitted, the chart image (PNG) will be transferred to your Word/PowerPoint document. So format them in Excel the way you want them to look in your document.</t>
  </si>
  <si>
    <t>Chart Size, Quality, and Resolution</t>
  </si>
  <si>
    <t>You can change the image size and resolution.  Higher resolution charts appear sharper in Word/PPT, but also increase transfer size and Word/PowerPoint file size.
To Resize Chart Images: change the property under 'List/Manage Item'
OR append your chart name with '_h' then the desired height in pixels or '_w' and the desired width in pixels. For example, 'r_Chart_w250' creates the image so it is 250 pixels wide (8.8 cm / 3.5 inches). The non-specified dimension scales so the aspect ratio remains the same.</t>
  </si>
  <si>
    <t>r_Chart</t>
  </si>
  <si>
    <t>Chart with Added Content</t>
  </si>
  <si>
    <t>You can add other content to your charts, such as dynamic text, images, shapes, etc.
This feature can enable very powerful/flexible content automation capabilities.
The chart below contains formula-based text and an image.</t>
  </si>
  <si>
    <t xml:space="preserve">Growth Rate:  </t>
  </si>
  <si>
    <t>Chart Text:</t>
  </si>
  <si>
    <t>Day</t>
  </si>
  <si>
    <t>AnalysisPlace Revenue</t>
  </si>
  <si>
    <t>r_ChartWithContent</t>
  </si>
  <si>
    <t>Transfer as a Flex table, a Destination-formatted table, or an image (PNG).</t>
  </si>
  <si>
    <t>Prepend the 'PivotTable Name' ('PivotTable Analyze' ribbon menu) with your prefix. The top labels row is not transferred.</t>
  </si>
  <si>
    <t>To exclude the top row (often labels), append the PivotTable's name with '_notop'</t>
  </si>
  <si>
    <t>Tip: to hide the 'Row Labels' (top-left cell): Options &gt; Display &gt; uncheck 'Display field captions and filter drop downs'.</t>
  </si>
  <si>
    <t>Microsoft PivotTable help:</t>
  </si>
  <si>
    <t>https://support.microsoft.com/en-us/office/create-a-pivottable-to-analyze-worksheet-data-a9a84538-bfe9-40a9-a8e9-f99134456576</t>
  </si>
  <si>
    <t>Flex-formatted PivotTables</t>
  </si>
  <si>
    <t xml:space="preserve">Flex tables only work in Word, not PowerPoint. </t>
  </si>
  <si>
    <t>PivotTable styles don't appear in Flex tables, so explicitly format your PivotTables (add bold text, borders, background, etc.)</t>
  </si>
  <si>
    <t>rPivotFlex</t>
  </si>
  <si>
    <t>Sum of Sales</t>
  </si>
  <si>
    <t>Column Labels</t>
  </si>
  <si>
    <t>Grand Total</t>
  </si>
  <si>
    <t>Accessories</t>
  </si>
  <si>
    <t>Bikes</t>
  </si>
  <si>
    <t>Clothing</t>
  </si>
  <si>
    <t>Components</t>
  </si>
  <si>
    <t>Destination-formatted PivotTable</t>
  </si>
  <si>
    <t>Transferring as a Destination-formatted table may not work well for complex/changing PivotTables (e.g. subsections with row count changes) because formats are not transferred. Subtotal row formats may no longer be on the desired row.</t>
  </si>
  <si>
    <t>rPivotDest</t>
  </si>
  <si>
    <t>Image of PivotTable</t>
  </si>
  <si>
    <t>To transfer as an image, append the PivotTable's name with '_img'. Can combine: _notop_img</t>
  </si>
  <si>
    <t>rPivotImage</t>
  </si>
  <si>
    <t>Tip: To avoid having drop-down buttons appear in the image:</t>
  </si>
  <si>
    <t>Source Data for the PivotTables</t>
  </si>
  <si>
    <t>Year</t>
  </si>
  <si>
    <t>Product</t>
  </si>
  <si>
    <t>Sales</t>
  </si>
  <si>
    <t>Rating</t>
  </si>
  <si>
    <t>Chains</t>
  </si>
  <si>
    <t>Socks</t>
  </si>
  <si>
    <t>Bib-Shorts</t>
  </si>
  <si>
    <t>Shorts</t>
  </si>
  <si>
    <t>Tights</t>
  </si>
  <si>
    <t>Handlebars</t>
  </si>
  <si>
    <t>Brakes</t>
  </si>
  <si>
    <t>Mountain Bikes</t>
  </si>
  <si>
    <t>Helmets</t>
  </si>
  <si>
    <t>Lights</t>
  </si>
  <si>
    <t>Locks</t>
  </si>
  <si>
    <t>Botttom Brackets</t>
  </si>
  <si>
    <t>Jerseys</t>
  </si>
  <si>
    <t>Shapes and Pictures</t>
  </si>
  <si>
    <t>Transfer any type of shape to your Word/PPT document: text boxes, lines, geometric shapes, SmartArt, WordArt, pictures/photos, icons, maps, and equations. Shapes can contain dynamic content (based on a formula or using automation such as VBA macros or other add-ins).</t>
  </si>
  <si>
    <t>To name a shape, select it, then enter the name (starting with the prefix) in the "Name Box" to the left of the formula bar.</t>
  </si>
  <si>
    <t>Shapes become PNG images in your Word/PPT document.</t>
  </si>
  <si>
    <t>Shape group name: rShapesWithData</t>
  </si>
  <si>
    <t>Source Data</t>
  </si>
  <si>
    <t>rEquation</t>
  </si>
  <si>
    <t>Shape group name: rPictureWithText</t>
  </si>
  <si>
    <t>How to Link Charts</t>
  </si>
  <si>
    <t>• Create the chart in PowerPoint  or Word (Insert &gt; Illustrations &gt; Chart)</t>
  </si>
  <si>
    <t>PowerPoint Update (See examples below)</t>
  </si>
  <si>
    <t>Value to Change All Values</t>
  </si>
  <si>
    <t>r_CommonCharts</t>
  </si>
  <si>
    <t>Series A</t>
  </si>
  <si>
    <t>Series B</t>
  </si>
  <si>
    <t>Series C</t>
  </si>
  <si>
    <t>Pie Charts</t>
  </si>
  <si>
    <t>r_PieCharts</t>
  </si>
  <si>
    <t>Slice Size</t>
  </si>
  <si>
    <t>Category 1</t>
  </si>
  <si>
    <t>Category 2</t>
  </si>
  <si>
    <t>Category 3</t>
  </si>
  <si>
    <t>Category 4</t>
  </si>
  <si>
    <t>Category 5</t>
  </si>
  <si>
    <t>Scatter Charts</t>
  </si>
  <si>
    <t>r_Scatter2Series</t>
  </si>
  <si>
    <t>r_Scatter</t>
  </si>
  <si>
    <t>X-Values</t>
  </si>
  <si>
    <t>Y1-Values</t>
  </si>
  <si>
    <t>Y2-Values</t>
  </si>
  <si>
    <t>Y-Values</t>
  </si>
  <si>
    <t>Stock Chart</t>
  </si>
  <si>
    <t>r_StockChart</t>
  </si>
  <si>
    <t>Volume</t>
  </si>
  <si>
    <t>Open</t>
  </si>
  <si>
    <t>High</t>
  </si>
  <si>
    <t>Low</t>
  </si>
  <si>
    <t>Close</t>
  </si>
  <si>
    <t>Insert HTML-formatted content into Word</t>
  </si>
  <si>
    <t>Format Text</t>
  </si>
  <si>
    <t>r_text_html</t>
  </si>
  <si>
    <t>HTML formatting examples: &lt;b&gt;bold&lt;/b&gt;; &lt;span style="color:red"&gt;red&lt;/span&gt;.&lt;p&gt;Table:&lt;/p&gt;&lt;p&gt;&lt;table  border="1"&gt;&lt;tr&gt;&lt;th&gt;Month&lt;/th&gt;&lt;th&gt;Savings&lt;/th&gt;&lt;/tr&gt;&lt;tr&gt;&lt;td&gt;January&lt;/td&gt;&lt;td&gt;$100&lt;/td&gt;&lt;/tr&gt;&lt;tr&gt;&lt;td&gt;February&lt;/td&gt;&lt;td&gt;$125&lt;/td&gt;&lt;/tr&gt;&lt;/table&gt;&lt;/p&gt;</t>
  </si>
  <si>
    <t>Create Lists</t>
  </si>
  <si>
    <t>r_lists_html</t>
  </si>
  <si>
    <t>Image and Hyperlink</t>
  </si>
  <si>
    <t>r_image_html</t>
  </si>
  <si>
    <t>Dynamically Created HTML (Images and Hyperlinks)</t>
  </si>
  <si>
    <t>This example dynamically (based on a user selection and Excel formulas) creates html with a title, an image, text, and a hyperlink.</t>
  </si>
  <si>
    <t>Select Your Favorite Sports Car:</t>
  </si>
  <si>
    <t>Ferrari 250 GTO</t>
  </si>
  <si>
    <t>r_ImageFromFormula_html</t>
  </si>
  <si>
    <t>Data Lookups</t>
  </si>
  <si>
    <t>Sports Car</t>
  </si>
  <si>
    <t>Image URL</t>
  </si>
  <si>
    <t>Website URL</t>
  </si>
  <si>
    <t>https://upload.wikimedia.org/wikipedia/commons/6/65/01-bonhams-ferrari-monterey-2014-1.jpg</t>
  </si>
  <si>
    <t>The Ferrari 250 GTO is a GT car produced by Ferrari from 1962 to 1964 for homologation into the FIA's Group 3 Grand Touring Car category. It was powered by Ferrari's Tipo 168/62 Colombo V12 engine.</t>
  </si>
  <si>
    <t>https://en.wikipedia.org/wiki/Ferrari_250_GTO</t>
  </si>
  <si>
    <t>McLaren F1</t>
  </si>
  <si>
    <t>https://upload.wikimedia.org/wikipedia/commons/thumb/9/96/Yellow_McLaren_F1.jpg/640px-Yellow_McLaren_F1.jpg</t>
  </si>
  <si>
    <t>The McLaren F1 is a sports car designed and manufactured by McLaren Cars. Originally a concept conceived by Gordon Murray, he convinced Ron Dennis to back the project and engaged Peter Stevens to design the exterior and interior of the car. On 31 March 1998, the XP5 prototype with modified rev limiter set the Guinness World Record for the world's fastest production car, reaching 240.1 mph (386.4 km/h), surpassing the modified Jaguar XJ220's 217.1 mph (349 km/h) record from 1992. The McLaren's record lasted until the Koenigsegg CCR surpassed it in 2005, followed by the Bugatti Veyron. Only low production volume cars like the 1993 Dauer 962 Le Mans which attained 251.4 mph (404.6 km/h) in 1998 were faster.</t>
  </si>
  <si>
    <t>https://en.wikipedia.org/wiki/McLaren_F1</t>
  </si>
  <si>
    <t>Jaguar E-Type</t>
  </si>
  <si>
    <t>https://upload.wikimedia.org/wikipedia/commons/thumb/6/6d/Jaguar_E-Type_Series_1_3.8_Litre_1961.jpg/600px-Jaguar_E-Type_Series_1_3.8_Litre_1961.jpg</t>
  </si>
  <si>
    <t>The Jaguar E-Type, or the Jaguar XK-E for the North American market, is a British sports car that was manufactured by Jaguar Cars Ltd between 1961 and 1975. Its combination of beauty, high performance, and competitive pricing established the model as an icon of the motoring world. The E-Type's 150 mph (241 km/h) top speed, sub-7-second 0 to 60 mph (97 km/h) acceleration, monocoque construction, disc brakes, rack-and-pinion steering, and independent front and rear suspension distinguished the car and spurred industry-wide changes. The E-Type was based on Jaguar's D-Type racing car, which had won the 24 Hours of Le Mans three consecutive years beginning 1955, and employed what was, for the early 1960s, a novel racing design principle, with a front subframe carrying the engine, front suspension and front bodywork bolted directly to the body tub. No ladderfame chassis, as was common at the time, was needed and as such the first cars weighed only 1315kg (2900lb).</t>
  </si>
  <si>
    <t>https://en.wikipedia.org/wiki/Jaguar_E-Type</t>
  </si>
  <si>
    <t>Lamborghini Miura SV</t>
  </si>
  <si>
    <t>https://upload.wikimedia.org/wikipedia/commons/thumb/1/15/Lamborghini_Miura_%28Kirchzarten%29_jm20695.jpg/640px-Lamborghini_Miura_%28Kirchzarten%29_jm20695.jpg</t>
  </si>
  <si>
    <t xml:space="preserve">The Lamborghini Miura is a sports car produced by Italian automaker Lamborghini between 1966 and 1973. The car was the first supercar with a rear mid-engined two-seat layout, although the concept was first pioneered by René Bonnet with the Matra Djet in 1964. This layout has since become the standard for high-performance sports and supercars. When released, it was the fastest production road car. </t>
  </si>
  <si>
    <t>https://en.wikipedia.org/wiki/Lamborghini_Miura</t>
  </si>
  <si>
    <t>Mercedes-Benz 300SL</t>
  </si>
  <si>
    <t>https://upload.wikimedia.org/wikipedia/commons/thumb/e/e1/Fox_Classic_Car_Collection%2C_2008_%2802%29.JPG/640px-Fox_Classic_Car_Collection%2C_2008_%2802%29.JPG</t>
  </si>
  <si>
    <t>The Mercedes-Benz 300 SL was produced from 1954 to 1963. First as a coupe from 1954 to 1957 with gullwing doors and then from 1957 to 1963 as a roadster. The direct fuel injected production version was based on the company's less powerful carbureted overhead camshaft straight-6 engine 1952 racer, the W194. Mercedes-Benz introduced the 300 SL in February 1954 at the International Motor Sports Show in New York instead of in Europe and was largely the marketing creation of Max Hoffman. It was voted the "sports car of the century" in 1999. The 300 refers to its engine displacement of 300 centiliter or more specifically 2,996 cc (182.8 cu in). SL is the short form for "super-light" in German and refers to the light tubular frame construction.</t>
  </si>
  <si>
    <t>https://en.wikipedia.org/wiki/Mercedes-Benz_300SL</t>
  </si>
  <si>
    <t>Porsche 911 Carrera RS</t>
  </si>
  <si>
    <t>https://upload.wikimedia.org/wikipedia/commons/thumb/a/a2/Porsche_911_No_1000000%2C_70_Years_Porsche_Sports_Car%2C_Berlin_%281X7A3888%29.jpg/640px-Porsche_911_No_1000000%2C_70_Years_Porsche_Sports_Car%2C_Berlin_%281X7A3888%29.jpg</t>
  </si>
  <si>
    <t>The Porsche 911 (pronounced Nine Eleven or in German: Neunelfer) is a two-door, 2+2 high performance rear-engined sports car made since 1963 by Porsche AG of Stuttgart, Germany. It has a rear-mounted flat-six engine and all round independent suspension. It has undergone continuous development, though the basic concept has remained unchanged. The engines were air-cooled until the introduction of the Type 996 in 1998, with Porsche's "993" series, produced in model years 1994–1998, being the last of the air-cooled Porsches.</t>
  </si>
  <si>
    <t>https://en.wikipedia.org/wiki/Porsche_911</t>
  </si>
  <si>
    <t>Porsche 356</t>
  </si>
  <si>
    <t>https://upload.wikimedia.org/wikipedia/commons/thumb/c/ce/Porsche_356_C_-_Flickr_-_Alexandre_Prévot_%282%29_%28cropped%29.jpg/640px-Porsche_356_C_-_Flickr_-_Alexandre_Prévot_%282%29_%28cropped%29.jpg</t>
  </si>
  <si>
    <t>The Porsche 356 is a sports car which was first produced by Austrian company Porsche Konstruktionen GesmbH (1948–1949), and then by German company Dr. Ing. h. c. F. Porsche GmbH (1950–1965). It was Porsche's first production automobile. Earlier cars designed by the Austrian company include Cisitalia Grand Prix race car, the Volkswagen Beetle, and Auto Union Grand Prix cars.</t>
  </si>
  <si>
    <t>https://en.wikipedia.org/wiki/Porsche_356</t>
  </si>
  <si>
    <t>Porsche Carrera GT</t>
  </si>
  <si>
    <t>https://upload.wikimedia.org/wikipedia/commons/thumb/d/d7/Porsche_Carrera_GT_%2816924008835%29_%28cropped%29.jpg/640px-Porsche_Carrera_GT_%2816924008835%29_%28cropped%29.jpg</t>
  </si>
  <si>
    <t>The Porsche Carrera GT (Project Code 980) is a mid-engine sports car that was manufactured by German automobile manufacturer Porsche between 2004–2007. Sports Car International named the Carrera GT number one on its list of Top Sports Cars of the 2000s, and number eight on Top Sports Cars of All Time list. For its advanced technology and development of its chassis, Popular Science magazine granted the "Best of What's New" award in 2003.</t>
  </si>
  <si>
    <t>https://en.wikipedia.org/wiki/Porsche_Carrera_GT</t>
  </si>
  <si>
    <t>Shelby 289 AC Cobra</t>
  </si>
  <si>
    <t>https://upload.wikimedia.org/wikipedia/commons/thumb/e/e8/Shelby_AC_427_Cobra_vl_blue.jpg/640px-Shelby_AC_427_Cobra_vl_blue.jpg</t>
  </si>
  <si>
    <t>The AC Cobra, sold as the Shelby Cobra in the United States, is an Anglo-American sports car with a Ford V8 engine, produced intermittently in both the UK and the US since 1962.</t>
  </si>
  <si>
    <t>https://en.wikipedia.org/wiki/Shelby_Cobra</t>
  </si>
  <si>
    <t>Mazda MX-5</t>
  </si>
  <si>
    <t>https://upload.wikimedia.org/wikipedia/commons/thumb/e/e2/Mazda_Roadster_ND.jpg/640px-Mazda_Roadster_ND.jpg</t>
  </si>
  <si>
    <t>The Mazda MX-5 is a lightweight two-passenger roadster manufactured and marketed by Mazda with a front mid-engine, rear-wheel-drive layout. The convertible is marketed as the Mazda MX-5 Miata /miˈɑːtə/ in North America, where it is widely known as the Miata, and as the Eunos Roadster (ユーノス・ロードスター Yūnosu Rōdosutā) or Mazda Roadster (マツダ・ロードスター Matsuda Rōdosutā) in Japan.</t>
  </si>
  <si>
    <t>https://en.wikipedia.org/wiki/Mazda_MX-5</t>
  </si>
  <si>
    <t>Selected:</t>
  </si>
  <si>
    <t>Conditional Content ("Document Assembly")</t>
  </si>
  <si>
    <t>Control what sections to include/exclude in created reports (by deleting un-needed sections)</t>
  </si>
  <si>
    <t>Overview</t>
  </si>
  <si>
    <t>AnalysisPlace can not perform "Document Assembly" per say, but it can do the equivalent: It can automatically delete un-needed sections from the template. So include all needed content in your Word or PowerPoint templates, then configure your workbook to automatically indicate (e.g. based on formulas) which sections to delete, depending on the user scenario.</t>
  </si>
  <si>
    <t>Common examples of “optional” content (which can be deleted based on the scenario):
• Industry-specific case studies:  case studies for all industries are included in the master Word/PowerPoint document, then all but the desired industry case study are deleted when the report is created/updated for a specific customer.
• Report (e.g. proposal) sections: all sections are included in the master document, then when the report is created/updated for a customer, unneeded sections are deleted.</t>
  </si>
  <si>
    <t>You can have dozens or even hundreds of Conditional Sections in your Word/PowerPoint templates.</t>
  </si>
  <si>
    <t>Excel</t>
  </si>
  <si>
    <t xml:space="preserve">In the Excel add-in: On the 'Link' tab, see the 'Conditional Content' section. </t>
  </si>
  <si>
    <t>By design, Conditional Content does not work if "The Sheet Only" is selected</t>
  </si>
  <si>
    <t>Primary Method</t>
  </si>
  <si>
    <t>Add single-cell range names that start with "delete_" and end with the section name. If the value in that cell is true, then the corresponding section in Word or PowerPoint will be deleted. For example, if you have a range named "delete_AppendixA" (and the cell value is true), then the section named "AppendixA" in Word or PowerPoint will be deleted.</t>
  </si>
  <si>
    <t>If you select the 2nd or 3rd options below, the corresponding sections will be deleted in the Word/PowerPoint document.</t>
  </si>
  <si>
    <t>Select a Scenario:</t>
  </si>
  <si>
    <t>Full Report</t>
  </si>
  <si>
    <t>Lookup table</t>
  </si>
  <si>
    <t>delete if =1</t>
  </si>
  <si>
    <t>Named Range starting with "delete_"</t>
  </si>
  <si>
    <t>Section will be deleted if TRUE</t>
  </si>
  <si>
    <t>Scenario A</t>
  </si>
  <si>
    <t>Scenario B</t>
  </si>
  <si>
    <t>delete_SectionName</t>
  </si>
  <si>
    <t>delete_CostAnalysis</t>
  </si>
  <si>
    <t>delete_CaseStudyA</t>
  </si>
  <si>
    <t>delete_CaseStudyB</t>
  </si>
  <si>
    <t>delete_FinancialAnalysis</t>
  </si>
  <si>
    <t>delete_AppendixA</t>
  </si>
  <si>
    <t>delete_AppendixA1</t>
  </si>
  <si>
    <t>these are nested within AppendixA</t>
  </si>
  <si>
    <t>delete_AppendixA2</t>
  </si>
  <si>
    <t>delete_AppendixB</t>
  </si>
  <si>
    <t>Alternative Method</t>
  </si>
  <si>
    <t>In Excel create a table or range named "ReportSectionsToDelete" (case sensitive). This controls what sections are deleted in your PowerPoint presentation.</t>
  </si>
  <si>
    <t xml:space="preserve">The left column of the table list Section Names and the right column will have the word "Delete" if that section is to be deleted.                                                               </t>
  </si>
  <si>
    <t>The Delete column is typically updated based on formulas or a user selection (e.g. a checkbox, drop-down lists, or other logic).</t>
  </si>
  <si>
    <t>Table (or Range) Name:  ReportSectionsToDelete</t>
  </si>
  <si>
    <t>Section Name (no spaces or special characters)</t>
  </si>
  <si>
    <t>"Delete" to Remove Section from Report</t>
  </si>
  <si>
    <t>SectionName</t>
  </si>
  <si>
    <t>CostAnalysis</t>
  </si>
  <si>
    <t>CaseStudyA</t>
  </si>
  <si>
    <t>CaseStudyB</t>
  </si>
  <si>
    <t>FinancialAnalysis</t>
  </si>
  <si>
    <t>AppendixA</t>
  </si>
  <si>
    <t>AppendixB</t>
  </si>
  <si>
    <t>Word</t>
  </si>
  <si>
    <t xml:space="preserve">In Word: On the 'Link' tab of the add-in, see the 'Conditional Content' section. </t>
  </si>
  <si>
    <t>Update copies of your master template, otherwise you'll delete content from your master document.</t>
  </si>
  <si>
    <t>In the Word add-in, you'll be given the option to proceed with deleting the sections</t>
  </si>
  <si>
    <t>PowerPoint</t>
  </si>
  <si>
    <t xml:space="preserve">In PowerPoint, sections are individual slides. </t>
  </si>
  <si>
    <t>PowerPoint slide Notes indicate Section Names</t>
  </si>
  <si>
    <t>Enter the "Section Name" in the Notes (View &gt; Show &gt; Notes) (under the slide) in curly braces, e.g.: {SectionName}. It is only necessary to do this on slides that are to be removed in some scenarios.</t>
  </si>
  <si>
    <t>A single slide can contain multiple section names: {Appendix}{CostAnalysis}. A section name can be included on multiple slides. The section name can be combined with your note text.</t>
  </si>
  <si>
    <t>Mail merge is defined as: the automatic addition of names and addresses from a database to letters and envelopes in order to facilitate sending mail, especially advertising, to many addresses.
The add-in was not designed for high-volume automated mail merge and it should not be used as a replacement for Word’s native “Mailings” (Mail Merge) features.
The add-in can effectively be used to lookup recipient data from a list/table, calculate results, then update Word/PowerPoint templates. This enables rapid creation of personalized data-intensive documentation. However, unlike Mail Merge, the documents must be updated one at a time (requiring at least 3 clicks per update). 
The example below looks up company data from an Excel table based on a drop-down list, calculates results, then updates text, a table, and a chart in Word/PowerPoint. This process (select customer, "Submit" from Excel, "Update" in Word/PPT) would have to be repeated for each recipient.</t>
  </si>
  <si>
    <t>Select Customer for Report</t>
  </si>
  <si>
    <t>Select from drop-down list</t>
  </si>
  <si>
    <t>Customer</t>
  </si>
  <si>
    <t>Berkshire Hathaway</t>
  </si>
  <si>
    <t>r_MergeChart</t>
  </si>
  <si>
    <t>Index</t>
  </si>
  <si>
    <t>Report Content for Selected Customer</t>
  </si>
  <si>
    <t>Company Name</t>
  </si>
  <si>
    <t>Employees</t>
  </si>
  <si>
    <t>Contact FirstName</t>
  </si>
  <si>
    <t>Contact LastName</t>
  </si>
  <si>
    <t>Industry</t>
  </si>
  <si>
    <t>Industry Savings Multiplier</t>
  </si>
  <si>
    <t>Per Employee</t>
  </si>
  <si>
    <t>Company Total (Billions)</t>
  </si>
  <si>
    <t>Our Savings</t>
  </si>
  <si>
    <t>Competitor Savings</t>
  </si>
  <si>
    <t>Solution Cost</t>
  </si>
  <si>
    <t>r_MergeTable</t>
  </si>
  <si>
    <t>r_MergeText</t>
  </si>
  <si>
    <t>Data Lookup Tables</t>
  </si>
  <si>
    <t>Customer Profiles</t>
  </si>
  <si>
    <t>Name</t>
  </si>
  <si>
    <t>First Name</t>
  </si>
  <si>
    <t>Last Name</t>
  </si>
  <si>
    <t>Walmart</t>
  </si>
  <si>
    <t>Retail</t>
  </si>
  <si>
    <t>United States</t>
  </si>
  <si>
    <t>Jorden</t>
  </si>
  <si>
    <t>Garrett</t>
  </si>
  <si>
    <t>State Grid</t>
  </si>
  <si>
    <t>Electricity</t>
  </si>
  <si>
    <t>China</t>
  </si>
  <si>
    <t>Gianna</t>
  </si>
  <si>
    <t>Martin</t>
  </si>
  <si>
    <t>Sinopec</t>
  </si>
  <si>
    <t>Oil and gas</t>
  </si>
  <si>
    <t>Claire</t>
  </si>
  <si>
    <t>Diaz</t>
  </si>
  <si>
    <t>China National Petroleum</t>
  </si>
  <si>
    <t>Jesse</t>
  </si>
  <si>
    <t>Moreno</t>
  </si>
  <si>
    <t>Royal Dutch Shell</t>
  </si>
  <si>
    <t>Netherlands United Kingdom</t>
  </si>
  <si>
    <t>Carissa</t>
  </si>
  <si>
    <t>Dorsey</t>
  </si>
  <si>
    <t>Toyota</t>
  </si>
  <si>
    <t>Automotive</t>
  </si>
  <si>
    <t>Japan</t>
  </si>
  <si>
    <t>Joseph</t>
  </si>
  <si>
    <t>Wolf</t>
  </si>
  <si>
    <t>Volkswagen</t>
  </si>
  <si>
    <t>Germany</t>
  </si>
  <si>
    <t>Jaylah</t>
  </si>
  <si>
    <t>Carpenter</t>
  </si>
  <si>
    <t>BP</t>
  </si>
  <si>
    <t>United Kingdom</t>
  </si>
  <si>
    <t>Maritza</t>
  </si>
  <si>
    <t>Munoz</t>
  </si>
  <si>
    <t>Exxon Mobil</t>
  </si>
  <si>
    <t>Kaitlin</t>
  </si>
  <si>
    <t>Nielsen</t>
  </si>
  <si>
    <t>Financials</t>
  </si>
  <si>
    <t>Cristian</t>
  </si>
  <si>
    <t>Kane</t>
  </si>
  <si>
    <t>Apple</t>
  </si>
  <si>
    <t>Electronics</t>
  </si>
  <si>
    <t>Emery</t>
  </si>
  <si>
    <t>Rowe</t>
  </si>
  <si>
    <t>Samsung</t>
  </si>
  <si>
    <t>South Korea</t>
  </si>
  <si>
    <t>Kyla</t>
  </si>
  <si>
    <t>Mora</t>
  </si>
  <si>
    <t>McKesson</t>
  </si>
  <si>
    <t>Healthcare</t>
  </si>
  <si>
    <t>Emily</t>
  </si>
  <si>
    <t>Mcclure</t>
  </si>
  <si>
    <t>Glencore</t>
  </si>
  <si>
    <t>Mining</t>
  </si>
  <si>
    <t>Switzerland United Kingdom</t>
  </si>
  <si>
    <t>Reese</t>
  </si>
  <si>
    <t>Mcmahon</t>
  </si>
  <si>
    <t>United Health</t>
  </si>
  <si>
    <t>Thomas</t>
  </si>
  <si>
    <t>Mitchell</t>
  </si>
  <si>
    <t>Daimler</t>
  </si>
  <si>
    <t>Roselyn</t>
  </si>
  <si>
    <t>Fleming</t>
  </si>
  <si>
    <t>CVS Health</t>
  </si>
  <si>
    <t>Madilynn</t>
  </si>
  <si>
    <t>Summers</t>
  </si>
  <si>
    <t>Amazon</t>
  </si>
  <si>
    <t>Aspen</t>
  </si>
  <si>
    <t>Wong</t>
  </si>
  <si>
    <t>Exor</t>
  </si>
  <si>
    <t>Italy</t>
  </si>
  <si>
    <t>Christina</t>
  </si>
  <si>
    <t>Huerta</t>
  </si>
  <si>
    <t>AT&amp;T</t>
  </si>
  <si>
    <t>Telecommunications</t>
  </si>
  <si>
    <t>Krista</t>
  </si>
  <si>
    <t>Barton</t>
  </si>
  <si>
    <t>General Motors</t>
  </si>
  <si>
    <t>Leslie</t>
  </si>
  <si>
    <t>Short</t>
  </si>
  <si>
    <t>Ford</t>
  </si>
  <si>
    <t>Franklin</t>
  </si>
  <si>
    <t>Vang</t>
  </si>
  <si>
    <t>China State Construction</t>
  </si>
  <si>
    <t>Construction</t>
  </si>
  <si>
    <t>Bridget</t>
  </si>
  <si>
    <t>Lawrence</t>
  </si>
  <si>
    <t>Foxconn</t>
  </si>
  <si>
    <t>Taiwan</t>
  </si>
  <si>
    <t>Jazmin</t>
  </si>
  <si>
    <t>Duran</t>
  </si>
  <si>
    <t>AmerisourceBergen</t>
  </si>
  <si>
    <t>Pharmaceuticals</t>
  </si>
  <si>
    <t>Casey</t>
  </si>
  <si>
    <t>Sanford</t>
  </si>
  <si>
    <t>Industrial &amp; Commercial Bank of China</t>
  </si>
  <si>
    <t>Curtis</t>
  </si>
  <si>
    <t>May</t>
  </si>
  <si>
    <t>AXA</t>
  </si>
  <si>
    <t>France</t>
  </si>
  <si>
    <t>Aryana</t>
  </si>
  <si>
    <t>House</t>
  </si>
  <si>
    <t>David</t>
  </si>
  <si>
    <t>Ware</t>
  </si>
  <si>
    <t>Ping An Insurance</t>
  </si>
  <si>
    <t>Jessie</t>
  </si>
  <si>
    <t>Conley</t>
  </si>
  <si>
    <t>Honda</t>
  </si>
  <si>
    <t>Yadiel</t>
  </si>
  <si>
    <t>Garza</t>
  </si>
  <si>
    <t>China Construction Bank</t>
  </si>
  <si>
    <t>Makaila</t>
  </si>
  <si>
    <t>Tate</t>
  </si>
  <si>
    <t>Trafigura</t>
  </si>
  <si>
    <t>Commodities</t>
  </si>
  <si>
    <t>Singapore</t>
  </si>
  <si>
    <t>Ryan</t>
  </si>
  <si>
    <t>Mays</t>
  </si>
  <si>
    <t>Chevron</t>
  </si>
  <si>
    <t>Nylah</t>
  </si>
  <si>
    <t>Mccall</t>
  </si>
  <si>
    <t>Cardinal Health</t>
  </si>
  <si>
    <t>Devon</t>
  </si>
  <si>
    <t>Jenkins</t>
  </si>
  <si>
    <t>Costco</t>
  </si>
  <si>
    <t>Janae</t>
  </si>
  <si>
    <t>Hester</t>
  </si>
  <si>
    <t>SAIC Motor</t>
  </si>
  <si>
    <t>Orlando</t>
  </si>
  <si>
    <t>Aguirre</t>
  </si>
  <si>
    <t>Verizon</t>
  </si>
  <si>
    <t>Keely</t>
  </si>
  <si>
    <t>Weber</t>
  </si>
  <si>
    <t>Allianz</t>
  </si>
  <si>
    <t>Isaac</t>
  </si>
  <si>
    <t>Moran</t>
  </si>
  <si>
    <t>Kroger</t>
  </si>
  <si>
    <t>Jovany</t>
  </si>
  <si>
    <t>Cruz</t>
  </si>
  <si>
    <t>Agricultural Bank of China</t>
  </si>
  <si>
    <t>Nick</t>
  </si>
  <si>
    <t>Ponce</t>
  </si>
  <si>
    <t>General Electric</t>
  </si>
  <si>
    <t>Conglomerate</t>
  </si>
  <si>
    <t>Adrianna</t>
  </si>
  <si>
    <t>Chapman</t>
  </si>
  <si>
    <t>China Life Insurance</t>
  </si>
  <si>
    <t>Molly</t>
  </si>
  <si>
    <t>Davila</t>
  </si>
  <si>
    <t>Walgreens Boots Alliance</t>
  </si>
  <si>
    <t>Mckinley</t>
  </si>
  <si>
    <t>Figueroa</t>
  </si>
  <si>
    <t>BNP Paribas</t>
  </si>
  <si>
    <t>Sammy</t>
  </si>
  <si>
    <t>Rogers</t>
  </si>
  <si>
    <t>Japan Post Holdings</t>
  </si>
  <si>
    <t>Haven</t>
  </si>
  <si>
    <t>Roman</t>
  </si>
  <si>
    <t>Bank of China</t>
  </si>
  <si>
    <t>Jaylynn</t>
  </si>
  <si>
    <t>Underwood</t>
  </si>
  <si>
    <t>JPMorgan Chase</t>
  </si>
  <si>
    <t>Jonathon</t>
  </si>
  <si>
    <t>Arias</t>
  </si>
  <si>
    <t>Fannie Mae</t>
  </si>
  <si>
    <t>Alden</t>
  </si>
  <si>
    <t>Holmes</t>
  </si>
  <si>
    <t>Gazprom</t>
  </si>
  <si>
    <t>Russia</t>
  </si>
  <si>
    <t>Nathen</t>
  </si>
  <si>
    <t>Mendoza</t>
  </si>
  <si>
    <t>Prudential</t>
  </si>
  <si>
    <t>Porter</t>
  </si>
  <si>
    <t>Wilkins</t>
  </si>
  <si>
    <t>Savings Ration by Industry</t>
  </si>
  <si>
    <t>Savings Ratio</t>
  </si>
  <si>
    <t>Submit Specific Content (Methods to control "Item Name Prefix")</t>
  </si>
  <si>
    <t>Control what content is submitted from Excel</t>
  </si>
  <si>
    <t>This section discusses 3 methods to control what content (e.g. named range data or images) is submitted from Excel when the user clicks either "Submit Content" or for cloud reports, "Create Report".</t>
  </si>
  <si>
    <t>Item Name Prefix</t>
  </si>
  <si>
    <t>The "Item Name Prefix" input on the "Submit" tab basically acts as a filter. The add-in only submits content that starts with that prefix. For most users, setting the Item Name Prefix once is sufficient.</t>
  </si>
  <si>
    <t>You can manually modify the prefix to change what data is submitted.</t>
  </si>
  <si>
    <t>For example, you could have a different prefix for each scenario, for example "s_A" for scenario A and "s_B" for scenario B. You could submit content from all scenarios by using prefix "s_".</t>
  </si>
  <si>
    <t>Find and Replace</t>
  </si>
  <si>
    <t>On the "List" tab of the add-in, you can use "Find &amp; Replace" to quickly change the prefix of specific content. For example, you could change content on Sheet1 from "s_" to "s_A".</t>
  </si>
  <si>
    <t>Control the "Item Name Prefix" via Formula</t>
  </si>
  <si>
    <t>You can also control what content is submitted via formula. If the workbook contains a range named "SubmitContentPrefix" and it is not empty, then that will be used as the "Item Name Prefix". It overrides the user input and it changes the "Item Name Prefix" input on the Submit tab after the user submits content.</t>
  </si>
  <si>
    <t>It can be set via formula or other automation means (e.g. based on scenario).</t>
  </si>
  <si>
    <t>Note that it is rare that this method is necessary</t>
  </si>
  <si>
    <t>Range Name: SubmitContentPrefix</t>
  </si>
  <si>
    <t>Currency Switching - Currency Symbol and Exchange Rates</t>
  </si>
  <si>
    <t>This example shows how to change currency symbols and exchange rates (via a drop-down selection) in your Excel and destination documents.
There are also other ways to localize content, such as VBA macros and other add-ins. You can also automatically refresh exchange rates from external data.</t>
  </si>
  <si>
    <t>Select Currency</t>
  </si>
  <si>
    <t>Select currency from the drop-down list (tan input cell).</t>
  </si>
  <si>
    <t>Euro (€)</t>
  </si>
  <si>
    <t>Exchange Rate (per $US)</t>
  </si>
  <si>
    <t>Base ($US)</t>
  </si>
  <si>
    <t>Annual Recurring</t>
  </si>
  <si>
    <t>Project Total</t>
  </si>
  <si>
    <t>Total Investment</t>
  </si>
  <si>
    <t>Total Benefits</t>
  </si>
  <si>
    <t>Net Benefit</t>
  </si>
  <si>
    <t>Y-Axis Currency:</t>
  </si>
  <si>
    <t>r_CurrencyTable</t>
  </si>
  <si>
    <t>r_CurrencyNet</t>
  </si>
  <si>
    <t>Lookup Tables</t>
  </si>
  <si>
    <t>Selected</t>
  </si>
  <si>
    <t>CurrencySymbolDefault</t>
  </si>
  <si>
    <t>ExchangeRateDefault</t>
  </si>
  <si>
    <t>Exchange Rate:</t>
  </si>
  <si>
    <t>CurrencyNote</t>
  </si>
  <si>
    <t>Computer's Separators</t>
  </si>
  <si>
    <t>Decimal Separator</t>
  </si>
  <si>
    <t>SeparatorDec</t>
  </si>
  <si>
    <t>Thousands Separator</t>
  </si>
  <si>
    <t>SeparatorThou</t>
  </si>
  <si>
    <t>TextFormatNum</t>
  </si>
  <si>
    <t>format to use in TEXT() formulas</t>
  </si>
  <si>
    <t>TextFormatCurr</t>
  </si>
  <si>
    <t>CurrencyName</t>
  </si>
  <si>
    <t>Symbol</t>
  </si>
  <si>
    <t>Full Code</t>
  </si>
  <si>
    <t>Code</t>
  </si>
  <si>
    <t>Exchange Rate</t>
  </si>
  <si>
    <t>TEXT format</t>
  </si>
  <si>
    <t>Argentine Peso</t>
  </si>
  <si>
    <t>$</t>
  </si>
  <si>
    <t>[$$-es-AR] #,##0.00</t>
  </si>
  <si>
    <t xml:space="preserve">[$$-es-AR] </t>
  </si>
  <si>
    <t>Australian Dollar</t>
  </si>
  <si>
    <t>[$$-en-AU]#,##0.00</t>
  </si>
  <si>
    <t>[$$-en-AU]</t>
  </si>
  <si>
    <t>Brazilian Real</t>
  </si>
  <si>
    <t>R$</t>
  </si>
  <si>
    <t>[$R$-pt-BR] #,##0.00</t>
  </si>
  <si>
    <t xml:space="preserve">[$R$-pt-BR] </t>
  </si>
  <si>
    <t>British Pound</t>
  </si>
  <si>
    <t>£</t>
  </si>
  <si>
    <t>[$£-en-GB]#,##0.00</t>
  </si>
  <si>
    <t>[$£-en-GB]</t>
  </si>
  <si>
    <t>Canadian Dollar</t>
  </si>
  <si>
    <t>[$$-en-CA]#,##0.00</t>
  </si>
  <si>
    <t>[$$-en-CA]</t>
  </si>
  <si>
    <t>Danish Krone</t>
  </si>
  <si>
    <t>kr</t>
  </si>
  <si>
    <t>#,##0.00 [$kr.-da-DK]</t>
  </si>
  <si>
    <t xml:space="preserve"> [$kr.-da-DK]</t>
  </si>
  <si>
    <t>Euro</t>
  </si>
  <si>
    <t>€</t>
  </si>
  <si>
    <t>#,##0.00 [$€-x-euro1]</t>
  </si>
  <si>
    <t xml:space="preserve"> [$€-x-euro1]</t>
  </si>
  <si>
    <t>Hong Kong Dollar</t>
  </si>
  <si>
    <t>[$$-en-HK]#,##0.00</t>
  </si>
  <si>
    <t>[$$-en-HK]</t>
  </si>
  <si>
    <t>Indian Rupee</t>
  </si>
  <si>
    <t>₹</t>
  </si>
  <si>
    <t>[$₹-en-IN] #,##0.00</t>
  </si>
  <si>
    <t xml:space="preserve">[$₹-en-IN] </t>
  </si>
  <si>
    <t>Indonesian Rupiah</t>
  </si>
  <si>
    <t>Rp</t>
  </si>
  <si>
    <t>[$Rp-en-ID]#,##0.00</t>
  </si>
  <si>
    <t>[$Rp-en-ID]</t>
  </si>
  <si>
    <t>Japanese Yen</t>
  </si>
  <si>
    <t>¥</t>
  </si>
  <si>
    <t>[$¥-ja-JP]#,##0.00</t>
  </si>
  <si>
    <t>[$¥-ja-JP]</t>
  </si>
  <si>
    <t>South Korean Won</t>
  </si>
  <si>
    <t>₩</t>
  </si>
  <si>
    <t>[$₩-ko-KR]#,##0.00</t>
  </si>
  <si>
    <t>[$₩-ko-KR]</t>
  </si>
  <si>
    <t>Malaysian Ringgit</t>
  </si>
  <si>
    <t>RM$</t>
  </si>
  <si>
    <t>[$RM-en-MY]#,##0.00</t>
  </si>
  <si>
    <t>[$RM-en-MY]</t>
  </si>
  <si>
    <t>Mexican Peso</t>
  </si>
  <si>
    <t>[$$-es-MX]#,##0.00</t>
  </si>
  <si>
    <t>[$$-es-MX]</t>
  </si>
  <si>
    <t>New Zealand Dollar</t>
  </si>
  <si>
    <t>[$$-en-NZ]#,##0.00</t>
  </si>
  <si>
    <t>[$$-en-NZ]</t>
  </si>
  <si>
    <t>Norwegian Krone</t>
  </si>
  <si>
    <t>[$kr-sma-NO] #,##0.00</t>
  </si>
  <si>
    <t xml:space="preserve">[$kr-sma-NO] </t>
  </si>
  <si>
    <t>Russian Ruble</t>
  </si>
  <si>
    <t>₽</t>
  </si>
  <si>
    <t>#,##0.00 [$₽-ru-RU]</t>
  </si>
  <si>
    <t xml:space="preserve">[$₽-ru-RU] </t>
  </si>
  <si>
    <t>Saudi Arabian Riyal</t>
  </si>
  <si>
    <t>SR</t>
  </si>
  <si>
    <t>[$ر.س.‏-ar-SA]</t>
  </si>
  <si>
    <t>South African Rand</t>
  </si>
  <si>
    <t>R</t>
  </si>
  <si>
    <t>[$R-en-ZA]#,##0.00</t>
  </si>
  <si>
    <t>[$R-en-ZA]</t>
  </si>
  <si>
    <t>Swedish Krona</t>
  </si>
  <si>
    <t>#,##0.00 [$kr-sv-SE]</t>
  </si>
  <si>
    <t xml:space="preserve">[$kr-sv-SE] </t>
  </si>
  <si>
    <t>Swiss Franc</t>
  </si>
  <si>
    <t>chf</t>
  </si>
  <si>
    <t>#,##0.00 [$CHF-fr-CH]</t>
  </si>
  <si>
    <t xml:space="preserve">[$CHF-fr-CH] </t>
  </si>
  <si>
    <t>Taiwan New Dollar</t>
  </si>
  <si>
    <t>NT$</t>
  </si>
  <si>
    <t>[$NT$-zh-TW]#,##0.00</t>
  </si>
  <si>
    <t>[$NT$-zh-TW]</t>
  </si>
  <si>
    <t>Turkish Lira</t>
  </si>
  <si>
    <t>TL</t>
  </si>
  <si>
    <t>[$₺-tr-TR]</t>
  </si>
  <si>
    <t>US Dollar</t>
  </si>
  <si>
    <t>[$$-en-US]#,##0.00</t>
  </si>
  <si>
    <t>[$$-en-US]</t>
  </si>
  <si>
    <t>https://www.x-rates.com/table/?from=USD&amp;amount=1</t>
  </si>
  <si>
    <t>Updated:</t>
  </si>
  <si>
    <t>per US Dollar</t>
  </si>
  <si>
    <t>Inverse</t>
  </si>
  <si>
    <t>Bahraini Dinar</t>
  </si>
  <si>
    <t>Botswana Pula</t>
  </si>
  <si>
    <t>Bruneian Dollar</t>
  </si>
  <si>
    <t>Bulgarian Lev</t>
  </si>
  <si>
    <t>Chilean Peso</t>
  </si>
  <si>
    <t>Chinese Yuan Renminbi</t>
  </si>
  <si>
    <t>Colombian Peso</t>
  </si>
  <si>
    <t>Croatian Kuna</t>
  </si>
  <si>
    <t>Czech Koruna</t>
  </si>
  <si>
    <t>Emirati Dirham</t>
  </si>
  <si>
    <t>Hungarian Forint</t>
  </si>
  <si>
    <t>Icelandic Krona</t>
  </si>
  <si>
    <t>Iranian Rial</t>
  </si>
  <si>
    <t>Israeli Shekel</t>
  </si>
  <si>
    <t>Kazakhstani Tenge</t>
  </si>
  <si>
    <t>Kuwaiti Dinar</t>
  </si>
  <si>
    <t>Libyan Dinar</t>
  </si>
  <si>
    <t>Mauritian Rupee</t>
  </si>
  <si>
    <t>Nepalese Rupee</t>
  </si>
  <si>
    <t>Omani Rial</t>
  </si>
  <si>
    <t>Pakistani Rupee</t>
  </si>
  <si>
    <t>Philippine Peso</t>
  </si>
  <si>
    <t>Polish Zloty</t>
  </si>
  <si>
    <t>Qatari Riyal</t>
  </si>
  <si>
    <t>Romanian New Leu</t>
  </si>
  <si>
    <t>Singapore Dollar</t>
  </si>
  <si>
    <t>Sri Lankan Rupee</t>
  </si>
  <si>
    <t>Thai Baht</t>
  </si>
  <si>
    <t>Trinidadian Dollar</t>
  </si>
  <si>
    <t>Venezuelan Bolivar</t>
  </si>
  <si>
    <t>This example shows how to change language (via a drop-down selection) in your Excel and destination documents.
There are also other ways to localize content, such as VBA macros and other add-ins. You can also automatically refresh exchange rates from external data.</t>
  </si>
  <si>
    <t>Select Region/Language</t>
  </si>
  <si>
    <t>Spanish</t>
  </si>
  <si>
    <t>Selected Index</t>
  </si>
  <si>
    <t>Sample Text</t>
  </si>
  <si>
    <t>r_lang_title</t>
  </si>
  <si>
    <t>r_lang_paragraph</t>
  </si>
  <si>
    <t>Table</t>
  </si>
  <si>
    <t>Base (English $)</t>
  </si>
  <si>
    <t>Selected Currency</t>
  </si>
  <si>
    <t>Chart Title:</t>
  </si>
  <si>
    <t>r_lang_table</t>
  </si>
  <si>
    <t>Language Lookups</t>
  </si>
  <si>
    <t>This table gets the language based on the index (column) of the "Selected Index" above.
You can use "Review &gt; Language &gt; Translate" to translate text to other language, but it is a good idea to manually review (human translation) the text.</t>
  </si>
  <si>
    <t>Category/Item</t>
  </si>
  <si>
    <t>English</t>
  </si>
  <si>
    <t>Japanese</t>
  </si>
  <si>
    <t>LangExchangeRate</t>
  </si>
  <si>
    <t>U.S. Dollar - $</t>
  </si>
  <si>
    <t>Euro - €</t>
  </si>
  <si>
    <t>日本円 - ¥</t>
  </si>
  <si>
    <t>Currency Symbol</t>
  </si>
  <si>
    <t>LangCurrencyFormat</t>
  </si>
  <si>
    <t>Title</t>
  </si>
  <si>
    <t>Solution Business Value Assessment</t>
  </si>
  <si>
    <t>Evaluación del valor empresarial de la solución</t>
  </si>
  <si>
    <t>ソリューションビジネスバリューアセスメント</t>
  </si>
  <si>
    <t xml:space="preserve">Based on our analysis, we believe your company could save </t>
  </si>
  <si>
    <t xml:space="preserve">Basándonos en nuestro análisis, creemos que su empresa podría ahorrar </t>
  </si>
  <si>
    <t xml:space="preserve">私達の分析に基づいて、私達はあなたの会社が救うことができることを信じる </t>
  </si>
  <si>
    <t xml:space="preserve"> billion by purchasing our solution. Act today and you can purchase it for only </t>
  </si>
  <si>
    <t xml:space="preserve"> millones comprando nuestra solución. Actuar hoy y se puede comprar por sólo </t>
  </si>
  <si>
    <t>億ドルのソリューションを購入しています。今日の行為は、あなただけのためにそれを購入することができます</t>
  </si>
  <si>
    <t xml:space="preserve"> billion.</t>
  </si>
  <si>
    <t xml:space="preserve"> Mil millones.</t>
  </si>
  <si>
    <t>億。</t>
  </si>
  <si>
    <t>Costs Vs Benefits</t>
  </si>
  <si>
    <t>Costos vs beneficios</t>
  </si>
  <si>
    <t>コスト対メリット</t>
  </si>
  <si>
    <t>Una vez</t>
  </si>
  <si>
    <t>一回</t>
  </si>
  <si>
    <t>Recurrente anual</t>
  </si>
  <si>
    <t>年間定期</t>
  </si>
  <si>
    <t>Total del proyecto</t>
  </si>
  <si>
    <t>プロジェクト合計</t>
  </si>
  <si>
    <t>Inversión total</t>
  </si>
  <si>
    <t>総投資額</t>
  </si>
  <si>
    <t>Total de beneficios</t>
  </si>
  <si>
    <t>合計特典</t>
  </si>
  <si>
    <t>Beneficio neto</t>
  </si>
  <si>
    <t>純利益</t>
  </si>
  <si>
    <t>Other Features</t>
  </si>
  <si>
    <t>Dynamic content can be incorporated in a variety of ways (not just in-line) in your destination documents, enabling great-looking documents/presentations.</t>
  </si>
  <si>
    <t>The content controls can be placed in-line with text (the default) or you can insert the controls within containers, such as text boxes, and these containers can be placed anywhere (not just in-line with text). This enables very powerful/flexible layout options, such as updatable dashboards, infographics, and great-looking personalized branded marketing/sales material.</t>
  </si>
  <si>
    <t>All PowerPoint content is shape-based. Shapes can be titles, text boxes, tables, images, etc. Shapes are tagged (with the link code in the shape’s alt-text property) and updated by the add-in. Shapes can be placed anywhere on a slide (including overlapping). A slide can contain many shapes. Slides and shapes can be copied/pasted and will retain their links.</t>
  </si>
  <si>
    <t>Headers, Footers, and Master Slides</t>
  </si>
  <si>
    <t>In Word, linked text can be placed in headers and footers.</t>
  </si>
  <si>
    <t>In PowerPoint, master slides can contain linked content.</t>
  </si>
  <si>
    <t>Users commonly import data from external sources into Excel, so it can then be consolidated/analyzed in Excel and then updated in Word and PowerPoint documents. Common data sources include: web site data; databases; Azure; CRM/ERP systems, such as Salesforce; other Excel workbooks, web services, XML/JSON data, etc.</t>
  </si>
  <si>
    <t>Here are a few Microsoft resources that may be helpful:</t>
  </si>
  <si>
    <t>Import data from external data sources (Use Excel's Get &amp; Transform (Power Query) experience to import data into Excel from a wide variety of data sources. You can then use the Query Editor to edit query steps to shape or transform data.)</t>
  </si>
  <si>
    <t>Get &amp; Transform in Excel Get &amp; Transform enables you to connect, combine, and refine data sources to meet your analysis needs.</t>
  </si>
  <si>
    <t>Overview of connecting to (importing) data This reference article discusses importing and connecting data. You will learn about tasks like importing, updating, securing, and managing data.</t>
  </si>
  <si>
    <t>Most major software/app vendors provide ways for users to securely import data into Excel. There are also many 3rd-party solutions, including other add-ins, to help connect Excel to apps and other data sources. Microsoft’s Power BI is also commonly used to import and analyze enterprise data.</t>
  </si>
  <si>
    <t>The Enterprise version also contains a “Data Refresh” feature that can automatically update frequently updated data (such as pricing and exchange rate data) every time the workbook is opened.</t>
  </si>
  <si>
    <t>Examples to update in PowerPoint or Word</t>
  </si>
  <si>
    <t>Series1</t>
  </si>
  <si>
    <t>Branch 1</t>
  </si>
  <si>
    <t>Stem 1</t>
  </si>
  <si>
    <t>Leaf 1</t>
  </si>
  <si>
    <t>Leaf 2</t>
  </si>
  <si>
    <t>Leaf 3</t>
  </si>
  <si>
    <t>Stem 2</t>
  </si>
  <si>
    <t>Leaf 4</t>
  </si>
  <si>
    <t>Leaf 5</t>
  </si>
  <si>
    <t>Leaf 6</t>
  </si>
  <si>
    <t>Leaf 7</t>
  </si>
  <si>
    <t>Branch 2</t>
  </si>
  <si>
    <t>Stem 3</t>
  </si>
  <si>
    <t>Leaf 8</t>
  </si>
  <si>
    <t>Leaf 9</t>
  </si>
  <si>
    <t>Stem 4</t>
  </si>
  <si>
    <t>Leaf 10</t>
  </si>
  <si>
    <t>Leaf 11</t>
  </si>
  <si>
    <t>Branch 3</t>
  </si>
  <si>
    <t>Stem 5</t>
  </si>
  <si>
    <t>Leaf 12</t>
  </si>
  <si>
    <t>Leaf 13</t>
  </si>
  <si>
    <t>Stem 6</t>
  </si>
  <si>
    <t>Leaf 14</t>
  </si>
  <si>
    <t>Leaf 15</t>
  </si>
  <si>
    <t>Leaf 16</t>
  </si>
  <si>
    <t>r_SunBurst</t>
  </si>
  <si>
    <t>r_DateCharts</t>
  </si>
  <si>
    <t>Sunburst Chart</t>
  </si>
  <si>
    <t>Branch</t>
  </si>
  <si>
    <t>Stem</t>
  </si>
  <si>
    <t>Leaf</t>
  </si>
  <si>
    <t>SizeValue</t>
  </si>
  <si>
    <t>TreeMap Chart</t>
  </si>
  <si>
    <t>r_TreeMap</t>
  </si>
  <si>
    <t>Series2</t>
  </si>
  <si>
    <t>Series3</t>
  </si>
  <si>
    <t>Box and Whisker</t>
  </si>
  <si>
    <t>r_BoxAndWhisker</t>
  </si>
  <si>
    <t>USA</t>
  </si>
  <si>
    <t>Mexico</t>
  </si>
  <si>
    <t>Brazil</t>
  </si>
  <si>
    <t>Argentina</t>
  </si>
  <si>
    <t>Australia</t>
  </si>
  <si>
    <t>India</t>
  </si>
  <si>
    <t>Sweden</t>
  </si>
  <si>
    <t>United Arab Emirates</t>
  </si>
  <si>
    <t>Namibia</t>
  </si>
  <si>
    <t>r_MapChart</t>
  </si>
  <si>
    <t>r_Waterfall</t>
  </si>
  <si>
    <t>Start</t>
  </si>
  <si>
    <t>Cat2</t>
  </si>
  <si>
    <t>Cat3</t>
  </si>
  <si>
    <t>Cat4</t>
  </si>
  <si>
    <t>SubTotal</t>
  </si>
  <si>
    <t>Cat6</t>
  </si>
  <si>
    <t>Cat7</t>
  </si>
  <si>
    <t>End</t>
  </si>
  <si>
    <t>Waterfall Chart</t>
  </si>
  <si>
    <t>Map Chart</t>
  </si>
  <si>
    <t>r_Funnel</t>
  </si>
  <si>
    <t>Funnel Chart</t>
  </si>
  <si>
    <t xml:space="preserve">https://support.microsoft.com/en-us/office/create-a-sunburst-chart-in-office-4a127977-62cd-4c11-b8c7-65b84a358e0c </t>
  </si>
  <si>
    <t xml:space="preserve">https://support.microsoft.com/en-us/office/create-a-treemap-chart-in-office-dfe86d28-a610-4ef5-9b30-362d5c624b68 </t>
  </si>
  <si>
    <t xml:space="preserve">https://support.microsoft.com/en-us/office/create-a-box-and-whisker-chart-62f4219f-db4b-4754-aca8-4743f6190f0d </t>
  </si>
  <si>
    <t xml:space="preserve">https://support.microsoft.com/en-us/office/create-a-map-chart-in-excel-f2cfed55-d622-42cd-8ec9-ec8a358b593b </t>
  </si>
  <si>
    <t xml:space="preserve">https://support.microsoft.com/en-us/office/create-a-waterfall-chart-8de1ece4-ff21-4d37-acd7-546f5527f185 </t>
  </si>
  <si>
    <t xml:space="preserve">https://support.microsoft.com/en-us/office/create-a-funnel-chart-ba21bcba-f325-4d9f-93df-97074589a70e </t>
  </si>
  <si>
    <t>Charts are updated in Word/PPT based on data in an Excel range or table. Style their appearance in Word/PPT</t>
  </si>
  <si>
    <t>2 Ways to Insert a Chart into Word or PowerPoint</t>
  </si>
  <si>
    <t>Word Update (See examples below)</t>
  </si>
  <si>
    <t>Changing the single value below will change all the values transferred to PowerPoint or Word so you can quickly see how it changes the charts.</t>
  </si>
  <si>
    <r>
      <rPr>
        <b/>
        <sz val="11"/>
        <color theme="1"/>
        <rFont val="Calibri"/>
        <family val="2"/>
        <scheme val="minor"/>
      </rPr>
      <t>PowerPoint</t>
    </r>
    <r>
      <rPr>
        <sz val="11"/>
        <color theme="1"/>
        <rFont val="Calibri"/>
        <family val="2"/>
        <scheme val="minor"/>
      </rPr>
      <t xml:space="preserve"> updates are performed on our servers to a copy of your document or template. Compatibility/results are the same for Standard updates (from a copy of your open PowerPoint document) and Business updates (from templates).</t>
    </r>
  </si>
  <si>
    <t>2. Select the desired source "Table" content from the drop-downs. The source must be a regular Destination-formatted table, not a Flex table.</t>
  </si>
  <si>
    <t>• Create the chart in Excel, then paste it into PowerPoint or Word (you can “Embed Workbook” or “Link Data”). You can then modify the format of the chart in Word/PPT, if desired.</t>
  </si>
  <si>
    <t>The AnalysisPlace link will remove the Office link and the embedded workbook.</t>
  </si>
  <si>
    <t>Chart updated from Table/Range data</t>
  </si>
  <si>
    <t>TableName='r_LineChart'</t>
  </si>
  <si>
    <t>Image Function</t>
  </si>
  <si>
    <t>There is a new Image() function that inserts external images, but beware of the function's limitations when sharing with others. It is not supported by older versions of Office and it requires a security approval because it links to an external URL.</t>
  </si>
  <si>
    <t>IMAGE function - Microsoft Support</t>
  </si>
  <si>
    <t xml:space="preserve">Select Shape: </t>
  </si>
  <si>
    <t>Cylinder</t>
  </si>
  <si>
    <t>Selected Index:</t>
  </si>
  <si>
    <t>Selected URL:</t>
  </si>
  <si>
    <t>To enable: remove the ' (quote) in front of the formula to the right:</t>
  </si>
  <si>
    <t>r_Shape_img</t>
  </si>
  <si>
    <t>Shape</t>
  </si>
  <si>
    <t>URL</t>
  </si>
  <si>
    <t>https://support.content.office.net/en-us/media/35aecc53-b3c1-4895-8a7d-554716941806.jpg</t>
  </si>
  <si>
    <t>Pyramid</t>
  </si>
  <si>
    <t>https://support.content.office.net/en-us/media/926439a2-bc79-4b8b-9205-60892650e5d3.jpg</t>
  </si>
  <si>
    <t>Sphere</t>
  </si>
  <si>
    <t>https://support.content.office.net/en-us/media/2d9e717a-0077-438f-8e5e-f85a1305d4ad.jpg</t>
  </si>
  <si>
    <t>Update Charts in Word or PowerPoint (based on a table or range in Excel)</t>
  </si>
  <si>
    <t>Bar, Column, Line and Area Charts</t>
  </si>
  <si>
    <t>Chart updated from an Image of a Chart</t>
  </si>
  <si>
    <t>Region A</t>
  </si>
  <si>
    <t>Region B</t>
  </si>
  <si>
    <t>Region C</t>
  </si>
  <si>
    <t>Chart images are transferred to Word/PPT as png images. Style their appearance in Excel.</t>
  </si>
  <si>
    <t>You can add other content to the chart</t>
  </si>
  <si>
    <t>Charts can be updated in two ways: linking the chart in Word or PowerPoint with the associated Excel table or range OR an image of an Excel chart.</t>
  </si>
  <si>
    <t>Modify 1 or more of the tan "Input" cells below</t>
  </si>
  <si>
    <t>If you don't already have the add-in: Ribbon Menu: Insert &gt; Get Add-ins</t>
  </si>
  <si>
    <t>Open the add-in from the right side of the Home ribbon</t>
  </si>
  <si>
    <t>Add this add-in (Ribbon menu: Insert &gt; Get Add-ins), then open it from the Home ribbon</t>
  </si>
  <si>
    <t>Project Duration (Years):</t>
  </si>
  <si>
    <t>A Named Range (or Data Table or PivotTable) updates a Table in Word/PowerPoint. Tables can be Destination-formatted or Excel-formatted (Flex).</t>
  </si>
  <si>
    <t>Only the text/values are updated in Word/PowerPoint. The formatting is set in the destination table and won't change after the update.</t>
  </si>
  <si>
    <t>Date-Based Chart</t>
  </si>
  <si>
    <t>Scatter charts must have the x-axis value in the 1st column and 1 or more Y-axis values in columns after that.</t>
  </si>
  <si>
    <t>Map charts drammatically increase file size and are very slow to update.</t>
  </si>
  <si>
    <t>To reduce document space and improve performance, the charts below haven't been linked with Word and PowerPoint, but can be.</t>
  </si>
  <si>
    <t>Shapes are transferred to Word/PPT as PNG images.</t>
  </si>
  <si>
    <t>ShapeName='r_ScrollShape'</t>
  </si>
  <si>
    <t>This example uses a Table as the source for the Word/PPT chart.</t>
  </si>
  <si>
    <t>Example User Input: if you modify this input, it will modify the examples below.</t>
  </si>
  <si>
    <t>This feature enables extensive added formatting/content options, for example: 
•	Format text via header tags, like &lt;h1&gt;
•	Format content via the style= attribute. For example, change font size and color
•	Insert images from a URL via the &lt;img&gt; tag
•	Hyperlinks: &lt;a&gt; tag
•	Lists: &lt;ol&gt;&lt;li&gt; and &lt;ul&gt; tag
•	Tables: &lt;table&gt; tag
•	Emphasize text via the &lt;b&gt;, &lt;strong&gt;, &lt;u&gt;, &lt;i&gt;, and &lt;em&gt; tags
The HTML content in the source Excel cell can be created via formula or programmatically (VBA macros, other add-ins, or external applications).
The name of the Excel cell can end with “_html” (or configure in "List/Manage Items") to insert the content as html.
Some html content is not compatible.
Note: when creating reports via Word Cloud (Enterprise Feature), images will not appear until the user opens the document and clicks “Enable Editing”. Also, including images based external URLs will also delay the opening of the file by about 5 seconds as it downloads and incorporates the images.</t>
  </si>
  <si>
    <t>Updating charts from data can dramatically reduce data transfer and file size versus using images of the charts. It allows you to have many large updatable charts in your Word/PPT document.</t>
  </si>
  <si>
    <t xml:space="preserve">- Updates chart values as well as category and series names.
- Formatting (background, colors, axis format, etc.) are not modified – set format in the chart.
- Source Excel range (or Table) must be contiguous (single range).
- Title text updating: the chart feature does not directly update other text items in the chart, but you can update text via a text box placed on top of the chart in PowerPoint.
- Excel source range can be re-sized: The update will add/remove # of items in Series and add/remove Categories
- See examples below for the required data structure
</t>
  </si>
  <si>
    <t>3. Insert, then select the Chart to be linked</t>
  </si>
  <si>
    <t>3.  Insert, then select the Shape (Chart) to be linked</t>
  </si>
  <si>
    <t>4. Click "Insert Content/Update Link"</t>
  </si>
  <si>
    <t>Ensure the data in the source range/table has the correct structure for the chart. For example, Category titles in the 1st column, series names at the top the 2nd+ columns with values. See examples below.</t>
  </si>
  <si>
    <t>Below are example charts. Note that only the ranges/tables are transferred to PowerPoint or Word, not the charts. The charts are shown only as examples.</t>
  </si>
  <si>
    <t xml:space="preserve">1.  In the PPT add-in, on the 'Link' tab click “Get Excel Content” </t>
  </si>
  <si>
    <t xml:space="preserve">1. In the Word add-in, on the 'Link' tab click “Get Excel Content” </t>
  </si>
  <si>
    <t>2.  Select the desired “Table” source from the drop-downs. The source must be a regular Destination-formatted table, not a Flex table.</t>
  </si>
  <si>
    <t>The last column contains the values.</t>
  </si>
  <si>
    <t>Values</t>
  </si>
  <si>
    <t>After you enable the formula above, you may need to approve the security warning "Linked Data Types have been disabled" under the ribbon.</t>
  </si>
  <si>
    <t>Auto-Hide</t>
  </si>
  <si>
    <t>Auto-Hide Rows/Columns</t>
  </si>
  <si>
    <t xml:space="preserve">Automatically hides/unhides rows/columns when you click the "Auto-Hide Rows/Columns" button. Rows/columns to hide are based on cell value/formula. </t>
  </si>
  <si>
    <t>Scenario</t>
  </si>
  <si>
    <t>hide</t>
  </si>
  <si>
    <t>Show All</t>
  </si>
  <si>
    <t>Hide Some</t>
  </si>
  <si>
    <t>Hide Most</t>
  </si>
  <si>
    <t>Scenario Index:</t>
  </si>
  <si>
    <t>To test this feature, select a Scenario from the drop-down list, then click "Auto-Hide Rows/Columns" in the add-in on the Submit tab.</t>
  </si>
  <si>
    <t>Automatically hide unneeded years (columns) on a report when not needed</t>
  </si>
  <si>
    <r>
      <t xml:space="preserve">Automatically hide unneeded rows on a Flex table </t>
    </r>
    <r>
      <rPr>
        <b/>
        <sz val="12"/>
        <color theme="1"/>
        <rFont val="Calibri"/>
        <family val="2"/>
        <scheme val="minor"/>
      </rPr>
      <t>financial report</t>
    </r>
    <r>
      <rPr>
        <sz val="12"/>
        <color theme="1"/>
        <rFont val="Calibri"/>
        <family val="2"/>
        <scheme val="minor"/>
      </rPr>
      <t xml:space="preserve"> when not needed (summary report vs full report)</t>
    </r>
  </si>
  <si>
    <t>The "HideRow" ranges can be many rows high. The "HideCol" ranges can be many columns wide. These ranges can be hidden.</t>
  </si>
  <si>
    <t>Show/hide content based on a drop-down list (like the example below) or more complex formulas/logic.</t>
  </si>
  <si>
    <t>Row 3</t>
  </si>
  <si>
    <t>Row 4</t>
  </si>
  <si>
    <t>Row 5</t>
  </si>
  <si>
    <t>Row 6</t>
  </si>
  <si>
    <t>Row 7</t>
  </si>
  <si>
    <t>Row 8</t>
  </si>
  <si>
    <t>Row 9</t>
  </si>
  <si>
    <t>Row 10</t>
  </si>
  <si>
    <t>Row 11</t>
  </si>
  <si>
    <t>Row 12</t>
  </si>
  <si>
    <t>Row 13</t>
  </si>
  <si>
    <t>Row 14</t>
  </si>
  <si>
    <t>Row 15</t>
  </si>
  <si>
    <t>Column A</t>
  </si>
  <si>
    <t>Column B</t>
  </si>
  <si>
    <t>Column C</t>
  </si>
  <si>
    <t>Column D</t>
  </si>
  <si>
    <t>Column E</t>
  </si>
  <si>
    <t>Column F</t>
  </si>
  <si>
    <t>Automatically hides/unhides rows/columns based on cell value/formula when you click the "Auto-Hide Rows/Columns" button.</t>
  </si>
  <si>
    <t>To hide rows: add a single-column range name starting with "HideRow". Add formula resulting in "hide" for the rows you want to hide.</t>
  </si>
  <si>
    <t>To hide columns: add a single-row range name starting with "HideCol". Add formula resulting in "hide" for the columns you want to hide.</t>
  </si>
  <si>
    <t>The named ranges cannot be worksheet scoped.</t>
  </si>
  <si>
    <t>You can add the range name starting with "HideRow" or "HideCol" to multiple sheets (e.g. HideRow_SheetA, HideRow_SheetB)</t>
  </si>
  <si>
    <t>Image() Function</t>
  </si>
  <si>
    <t>See the "Sel Img" sheet.</t>
  </si>
  <si>
    <t>You may also be able to have images appear in a cell using the Image() function.</t>
  </si>
  <si>
    <t>Instructions - To set up (one time)</t>
  </si>
  <si>
    <t>Instructions - To Show/Hide Content (whenever needed)</t>
  </si>
  <si>
    <t>Click the "Auto-Hide Rows/Columns" button on the "Submit" tab of the Excel add-in.</t>
  </si>
  <si>
    <t>"Submit" content, then Update in Word/PPT.</t>
  </si>
  <si>
    <t>Use with the item property "Include hidden rows &amp; columns" = No or "_vis" suffix (see image on right). Otherwise Excel will transfer the table, including the hidden rows/columns.</t>
  </si>
  <si>
    <t>Your formulas/logic should show which rows to hide with "hide" in the HideRow… or HideCol… name ranges</t>
  </si>
  <si>
    <t>Hide features (on rows in a table) when those features are out of scope for a specific project (e.g. based on a proposal generator configuration)</t>
  </si>
  <si>
    <t>Example Use Cases</t>
  </si>
  <si>
    <t>In the sample Word doc, this updates a Flex table</t>
  </si>
  <si>
    <t>In the sample PPT doc, this updates a Destination table</t>
  </si>
  <si>
    <t>Depreciation</t>
  </si>
  <si>
    <t>Flex Tables with merged cells require Office on Windows Version 2108 (Build 14326.20508); 16.52 on Macs</t>
  </si>
  <si>
    <t>Image in a Cell</t>
  </si>
  <si>
    <r>
      <t xml:space="preserve">Insert &gt; Pictures &gt; </t>
    </r>
    <r>
      <rPr>
        <b/>
        <sz val="12"/>
        <color theme="1"/>
        <rFont val="Calibri"/>
        <family val="2"/>
        <scheme val="minor"/>
      </rPr>
      <t>Place in Cell</t>
    </r>
    <r>
      <rPr>
        <sz val="12"/>
        <color theme="1"/>
        <rFont val="Calibri"/>
        <family val="2"/>
        <scheme val="minor"/>
      </rPr>
      <t xml:space="preserve"> is also supported</t>
    </r>
  </si>
  <si>
    <t>Append the cell's range name with _img</t>
  </si>
  <si>
    <r>
      <t xml:space="preserve">Insert &gt; Pictures &gt; </t>
    </r>
    <r>
      <rPr>
        <b/>
        <sz val="12"/>
        <color theme="1"/>
        <rFont val="Calibri"/>
        <family val="2"/>
        <scheme val="minor"/>
      </rPr>
      <t>Place in Cell</t>
    </r>
    <r>
      <rPr>
        <sz val="12"/>
        <color theme="1"/>
        <rFont val="Calibri"/>
        <family val="2"/>
        <scheme val="minor"/>
      </rPr>
      <t xml:space="preserve"> is also supported by the add-in</t>
    </r>
  </si>
  <si>
    <t>If your version of Excel supports "Place in Cell", it is the preferred solution</t>
  </si>
  <si>
    <t>Dynamic Range Method</t>
  </si>
  <si>
    <t>Image in a Cell (Paste Picture in Cell)</t>
  </si>
  <si>
    <t xml:space="preserve">Select a body part: </t>
  </si>
  <si>
    <t>Nose</t>
  </si>
  <si>
    <t>Foot</t>
  </si>
  <si>
    <t>Ear</t>
  </si>
  <si>
    <t>r_SelectedPicture_img</t>
  </si>
  <si>
    <t>Selected Image:</t>
  </si>
  <si>
    <t>Allows you to use formulas/logic to submit/update different pictures based on a configured scenario</t>
  </si>
  <si>
    <t>The examples below displays a flag image based on a country that is selected based on a drop-down list in Excel. It shows an image which appears in a single cell in Excel.</t>
  </si>
  <si>
    <t>This page shows several methods that can be used to select an image (then submit/update), based on formulas and logic.
This technique is commonly used to display product images based on selected/configured solution or people photos.
Depending on your needs, there are also many ways to use VBA macros (and other add-ins) to modify the image displayed in the cell (which can be updated in Word/PowerPoint).
Images could also be based on a URL from a remote web site.
Also, you can use an HTML &lt;img&gt; tag. See the HTML sheet.</t>
  </si>
  <si>
    <t>Select/Update an Image, Based on Cell Value/Formula</t>
  </si>
  <si>
    <t>See the "Sel Img" sheet</t>
  </si>
  <si>
    <r>
      <t xml:space="preserve">Insert &gt; Pictures &gt; </t>
    </r>
    <r>
      <rPr>
        <b/>
        <sz val="12"/>
        <color theme="1"/>
        <rFont val="Calibri"/>
        <family val="2"/>
        <scheme val="minor"/>
      </rPr>
      <t>Place in Cell</t>
    </r>
    <r>
      <rPr>
        <sz val="12"/>
        <color theme="1"/>
        <rFont val="Calibri"/>
        <family val="2"/>
        <scheme val="minor"/>
      </rPr>
      <t xml:space="preserve"> (or paste in cell) is also supported</t>
    </r>
  </si>
  <si>
    <t>Word Online</t>
  </si>
  <si>
    <r>
      <rPr>
        <b/>
        <sz val="11"/>
        <color theme="1"/>
        <rFont val="Calibri"/>
        <family val="2"/>
        <scheme val="minor"/>
      </rPr>
      <t>Word Add-In</t>
    </r>
    <r>
      <rPr>
        <sz val="11"/>
        <color theme="1"/>
        <rFont val="Calibri"/>
        <family val="2"/>
        <scheme val="minor"/>
      </rPr>
      <t xml:space="preserve"> refers to updates performed by the add-in (makes changes directly to your document).</t>
    </r>
    <r>
      <rPr>
        <sz val="11"/>
        <color theme="1"/>
        <rFont val="Calibri"/>
        <family val="2"/>
        <scheme val="minor"/>
      </rPr>
      <t xml:space="preserve"> Includes Office on Windows and Office on Mac</t>
    </r>
  </si>
  <si>
    <r>
      <rPr>
        <b/>
        <sz val="11"/>
        <color theme="1"/>
        <rFont val="Calibri"/>
        <family val="2"/>
        <scheme val="minor"/>
      </rPr>
      <t>Word Online</t>
    </r>
    <r>
      <rPr>
        <sz val="11"/>
        <color theme="1"/>
        <rFont val="Calibri"/>
        <family val="2"/>
        <scheme val="minor"/>
      </rPr>
      <t xml:space="preserve"> refers to web browser-based version of Office</t>
    </r>
  </si>
  <si>
    <r>
      <t>ü</t>
    </r>
    <r>
      <rPr>
        <vertAlign val="superscript"/>
        <sz val="18"/>
        <rFont val="Calibri"/>
        <family val="2"/>
        <scheme val="minor"/>
      </rPr>
      <t>^1</t>
    </r>
  </si>
  <si>
    <t>^1 - Lists are not compatible with Word Online</t>
  </si>
  <si>
    <t>Updates PowerPoint and Word charts based on data from a range or table. Can update hundreds of large charts rapidly.</t>
  </si>
  <si>
    <t>Excel-to-Excel</t>
  </si>
  <si>
    <t>E2E</t>
  </si>
  <si>
    <t>Update content in a destination workbook based on ranges/tables in a source workbook.</t>
  </si>
  <si>
    <t>Source Workbook</t>
  </si>
  <si>
    <t>Destination Workbook</t>
  </si>
  <si>
    <t>Instructions - To update content (many times)</t>
  </si>
  <si>
    <t>Please Note</t>
  </si>
  <si>
    <t>r_E2E_Table</t>
  </si>
  <si>
    <t>in_E2E_Table</t>
  </si>
  <si>
    <t>r_E2E_Range</t>
  </si>
  <si>
    <t>Instructions - To set up links (one time)</t>
  </si>
  <si>
    <t>r_E2E_CustomerName</t>
  </si>
  <si>
    <t>in_E2E_CustomerName</t>
  </si>
  <si>
    <t>in_E2E_Range</t>
  </si>
  <si>
    <t>Options</t>
  </si>
  <si>
    <t>Named Ranges (Single Cell)</t>
  </si>
  <si>
    <t>Named Ranges</t>
  </si>
  <si>
    <t>Organics Company</t>
  </si>
  <si>
    <t>Interest &amp; Other Income</t>
  </si>
  <si>
    <t>Examples to Try</t>
  </si>
  <si>
    <t>Be sure "This Sheet Only" is checked.</t>
  </si>
  <si>
    <t>Table name:</t>
  </si>
  <si>
    <t>Range name:</t>
  </si>
  <si>
    <r>
      <rPr>
        <b/>
        <sz val="12"/>
        <color theme="1"/>
        <rFont val="Calibri"/>
        <family val="2"/>
        <scheme val="minor"/>
      </rPr>
      <t>Source workbook:</t>
    </r>
    <r>
      <rPr>
        <sz val="12"/>
        <color theme="1"/>
        <rFont val="Calibri"/>
        <family val="2"/>
        <scheme val="minor"/>
      </rPr>
      <t xml:space="preserve"> click "Submit Content". This exports values of all ranges/tables named starting with the prefix</t>
    </r>
  </si>
  <si>
    <r>
      <rPr>
        <b/>
        <sz val="12"/>
        <color theme="1"/>
        <rFont val="Calibri"/>
        <family val="2"/>
        <scheme val="minor"/>
      </rPr>
      <t>Destination workbook:</t>
    </r>
    <r>
      <rPr>
        <sz val="12"/>
        <color theme="1"/>
        <rFont val="Calibri"/>
        <family val="2"/>
        <scheme val="minor"/>
      </rPr>
      <t xml:space="preserve"> click "Update Excel". This updates values of all ranges/tables that have names that match source items</t>
    </r>
  </si>
  <si>
    <t>For simplicity, the source and destination ranges/table are in the same file. Normally, they would be in different files.</t>
  </si>
  <si>
    <t>Save time and avoid errors</t>
  </si>
  <si>
    <t>Avoid manual copy/paste</t>
  </si>
  <si>
    <t>Update hundreds of items in seconds</t>
  </si>
  <si>
    <t>Improve reliability</t>
  </si>
  <si>
    <t>Share workbooks with others</t>
  </si>
  <si>
    <t>Simple to use</t>
  </si>
  <si>
    <t>“Links” are named ranges and tables</t>
  </si>
  <si>
    <t>Easy to create and maintain the links</t>
  </si>
  <si>
    <t>Uses robust links (named ranges and tables) that don't break when you change file names and file location</t>
  </si>
  <si>
    <t>Common Use Cases</t>
  </si>
  <si>
    <t>Excel-to-Excel updates values only (not formulas or formats)</t>
  </si>
  <si>
    <t>Excel-to-Excel does not update formulas: the location of dependent cells can change from source to destination. For example, if user inserts a row in one of the files. Another example: the source range may contain a formula referring to a cell on another sheet that may not exist in the destination file.
There's no way the add-in can determine the desired target cell location in the destination workbook. That is why the add-in only updates values. It also allows you to optionally skip updating cells that contain formulas (that may already refer to desired cells in the destination file).</t>
  </si>
  <si>
    <t>Excel-to-Excel does not update formats. You must format your destination range/table as desired. An advantage of tables is that table styles are applied when tables are re-sized. If the add-in re-sizes ranges, formats will not follow.</t>
  </si>
  <si>
    <t>The “Excel-to-Excel Updates” feature enables you to submit values from named ranges and tables in a source workbook.
Then, update data in matching named ranges and tables in a destination workbook.</t>
  </si>
  <si>
    <t>Excel-to-Excel Updates</t>
  </si>
  <si>
    <t>Transfer data from a source workbook to a destination workbook</t>
  </si>
  <si>
    <r>
      <rPr>
        <b/>
        <sz val="12"/>
        <color theme="1"/>
        <rFont val="Calibri"/>
        <family val="2"/>
        <scheme val="minor"/>
      </rPr>
      <t>Source workbook:</t>
    </r>
    <r>
      <rPr>
        <sz val="12"/>
        <color theme="1"/>
        <rFont val="Calibri"/>
        <family val="2"/>
        <scheme val="minor"/>
      </rPr>
      <t xml:space="preserve"> Name ranges/tables starting with the </t>
    </r>
    <r>
      <rPr>
        <b/>
        <sz val="12"/>
        <color theme="1"/>
        <rFont val="Calibri"/>
        <family val="2"/>
        <scheme val="minor"/>
      </rPr>
      <t>Item Name Prefix</t>
    </r>
    <r>
      <rPr>
        <sz val="12"/>
        <color theme="1"/>
        <rFont val="Calibri"/>
        <family val="2"/>
        <scheme val="minor"/>
      </rPr>
      <t xml:space="preserve"> that you want to export</t>
    </r>
  </si>
  <si>
    <r>
      <rPr>
        <b/>
        <sz val="12"/>
        <color theme="1"/>
        <rFont val="Calibri"/>
        <family val="2"/>
        <scheme val="minor"/>
      </rPr>
      <t>Destination workbook:</t>
    </r>
    <r>
      <rPr>
        <sz val="12"/>
        <color theme="1"/>
        <rFont val="Calibri"/>
        <family val="2"/>
        <scheme val="minor"/>
      </rPr>
      <t xml:space="preserve"> Name ranges/tables that you want to be updated. If the name matches a source item, then it will update the values.
"List Items" to view which ranges/names are matched to source items and to help add items that are not yet added.</t>
    </r>
  </si>
  <si>
    <t>Resizing</t>
  </si>
  <si>
    <t>Item Prefix</t>
  </si>
  <si>
    <t>Skip Cells with Formulas</t>
  </si>
  <si>
    <r>
      <t>Click "</t>
    </r>
    <r>
      <rPr>
        <b/>
        <sz val="12"/>
        <color theme="1"/>
        <rFont val="Calibri"/>
        <family val="2"/>
        <scheme val="minor"/>
      </rPr>
      <t>Submit Content</t>
    </r>
    <r>
      <rPr>
        <sz val="12"/>
        <color theme="1"/>
        <rFont val="Calibri"/>
        <family val="2"/>
        <scheme val="minor"/>
      </rPr>
      <t>", then "</t>
    </r>
    <r>
      <rPr>
        <b/>
        <sz val="12"/>
        <color theme="1"/>
        <rFont val="Calibri"/>
        <family val="2"/>
        <scheme val="minor"/>
      </rPr>
      <t>Update Excel</t>
    </r>
    <r>
      <rPr>
        <sz val="12"/>
        <color theme="1"/>
        <rFont val="Calibri"/>
        <family val="2"/>
        <scheme val="minor"/>
      </rPr>
      <t>" to see the Destination table and named ranges update.</t>
    </r>
  </si>
  <si>
    <t>Hidden rows and columns</t>
  </si>
  <si>
    <t>The destination prefix can be different from the source prefix. For example, if the Destination Item Prefix is "in_", then r_ItemName (source) will update in_ItemName (destination).</t>
  </si>
  <si>
    <t>If the "Item Prefix (Destination)" is blank or the same as the source "Item Name prefix", then destination item names must match source names exactly. For example, r_ItemName (source) will only update r_ItemName in the destination.</t>
  </si>
  <si>
    <t>Having a unique destination prefix can help avoid updating items that may be intended for updating Word/PowerPoint reports. You may also prefer to have unique source prefix, for example "out_" or "ex_" (for export) to separate items intended for reporting from items intended for Excel-to-Excel updates.</t>
  </si>
  <si>
    <t>Optionally skip updating formulas (any cell starting with '=') in the destination. For example, you can avoid overwriting total/subtotal formula with values in the destination.
You also may have cells that you want to contain values that come from other locations in the destination workbook, not the source.</t>
  </si>
  <si>
    <t>In the destination workbook, it will always update all rows (visible and hidden). The "Include hidden rows &amp; columns" property has no effect.</t>
  </si>
  <si>
    <t>In the source workbook: If you filter or hide rows and you only want the visible rows to be transferred to the destination: ensure the source item has the "Include hidden rows &amp; columns" property (List tab, under Manage Linkable Content) set to "No".</t>
  </si>
  <si>
    <t>CAUTION: ensure ranges/tables don't expand over (and overwrite) existing content.</t>
  </si>
  <si>
    <t xml:space="preserve">If checked, destination ranges/tables will be resized (e.g. expanded/shrunk) to match the size of the source item. </t>
  </si>
  <si>
    <t>It is more common to allow resizing of tables because the table styles will move with the re-sized table. 
Ranges can be re-sized, but formatting will not follow re-sized ranges.</t>
  </si>
  <si>
    <t>CAUTION: if you don't have "Skip Cells with Formulas" checked, ensure you don't click "Update Excel" in your source workbook: it will overwrite all of your formulas in named ranges/tables with values.</t>
  </si>
  <si>
    <t>1. Summarize results from a details workbook to a summary or output workbook.</t>
  </si>
  <si>
    <t>2. Update multiple Output Workbooks (one for each client) from a single calculator/configurator workbook.</t>
  </si>
  <si>
    <t>3. Consolidate multiple workbooks into a single workbook (e.g., financial consolidation)</t>
  </si>
  <si>
    <t>You would not want to resize a table like this (with different formats by row): if the source range was resized, the format of the destination would not look correct (subtotals values may be on lines with subtotal formats). Although the values would be updated correctly.</t>
  </si>
  <si>
    <t>The add-in can update charts in 2 ways: 
1) Updating the chart from an Excel table or range in Word or PowerPoint though the add-in
2) Transferring an image of the Excel chart (png) to the destination document
This sheet demonstrates how to do the 1st way: updating Word or PowerPoint charts linked to a Table or Named Range (or PivotTable) in Excel.</t>
  </si>
  <si>
    <t>&lt;h2&gt;AnalysisPlace&lt;/h2&gt;&lt;a href="https://analysisplace.com"&gt;&lt;img src="https://analysisplace.com/Logo.png" alt="AnalysisPlace" width="313" height="74"&gt;&lt;/a&gt;</t>
  </si>
  <si>
    <t>Ensure the image source is valid, otherwise the Word update will stop and result in an error.</t>
  </si>
  <si>
    <t>In Word, if you use "Restrict Editing" to only allow "Filling in forms" or editing "Tracked Changes", Flex tables will create an error and Word will remove the surrounding Content Control.</t>
  </si>
  <si>
    <t>Restrict Editing Limitations in Word</t>
  </si>
  <si>
    <t>https://analysisplace.com/#getStarted</t>
  </si>
  <si>
    <t>&lt;img src="http://analysisplace.com/Logo.png" alt="AnalysisPlace"&gt;</t>
  </si>
  <si>
    <r>
      <t xml:space="preserve">If you are not already familiar with the basic features of the add-in, first see:  </t>
    </r>
    <r>
      <rPr>
        <u/>
        <sz val="12"/>
        <color rgb="FF0563C1"/>
        <rFont val="Calibri"/>
        <family val="2"/>
        <scheme val="minor"/>
      </rPr>
      <t>https://analysisplace.com</t>
    </r>
  </si>
  <si>
    <t>Caution: Due to a bug in Office, scrolling down the page will often result in incorrect offsetting of the image</t>
  </si>
  <si>
    <t>=IMAGE(G35,INDEX(B40:B42,G34))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</si>
</sst>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164" formatCode="&quot;$&quot;#,##0"/>
    <numFmt numFmtId="165" formatCode="_(* #,##0.0_);_(* \(#,##0.0\);_(* &quot;-&quot;??_);_(@_)"/>
    <numFmt numFmtId="166" formatCode="_(* #,##0_);_(* \(#,##0\);_(* &quot;-&quot;??_);_(@_)"/>
    <numFmt numFmtId="167" formatCode="_(&quot;$&quot;* #,##0.0_);_(&quot;$&quot;* \(#,##0.0\);_(&quot;$&quot;* &quot;-&quot;??_);_(@_)"/>
    <numFmt numFmtId="168" formatCode="_(&quot;$&quot;* #,##0_);_(&quot;$&quot;* \(#,##0\);_(&quot;$&quot;* &quot;-&quot;??_);_(@_)"/>
    <numFmt numFmtId="169" formatCode="[$-F800]dddd\,\ mmmm\ dd\,\ yyyy\ h:mm"/>
    <numFmt numFmtId="170" formatCode="&quot;$&quot;#,##0.00"/>
    <numFmt numFmtId="171" formatCode="#,##0.0000"/>
    <numFmt numFmtId="172" formatCode="[$¥-411]#,##0.00"/>
    <numFmt numFmtId="173" formatCode="0.0%"/>
    <numFmt numFmtId="174" formatCode="&quot;$&quot;#,##0.0"/>
  </numFmts>
  <fonts count="11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sz val="11"/>
      <color theme="1"/>
      <name val="Arial"/>
      <family val="2"/>
    </font>
    <font>
      <sz val="10"/>
      <name val="Arial"/>
      <family val="2"/>
    </font>
    <font>
      <sz val="11"/>
      <color theme="1" tint="-0.24994659260841701"/>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FA7D00"/>
      <name val="Calibri"/>
      <family val="2"/>
      <scheme val="minor"/>
    </font>
    <font>
      <b/>
      <sz val="11"/>
      <color theme="0"/>
      <name val="Calibri"/>
      <family val="2"/>
      <scheme val="minor"/>
    </font>
    <font>
      <b/>
      <sz val="12"/>
      <color theme="0"/>
      <name val="Calibri"/>
      <family val="2"/>
      <scheme val="minor"/>
    </font>
    <font>
      <sz val="12"/>
      <color theme="1"/>
      <name val="Calibri"/>
      <family val="2"/>
      <scheme val="minor"/>
    </font>
    <font>
      <u/>
      <sz val="12"/>
      <color theme="11"/>
      <name val="Calibri"/>
      <family val="2"/>
      <scheme val="minor"/>
    </font>
    <font>
      <b/>
      <sz val="15"/>
      <color theme="8" tint="-0.499984740745262"/>
      <name val="Calibri"/>
      <family val="2"/>
      <scheme val="minor"/>
    </font>
    <font>
      <u/>
      <sz val="12"/>
      <color theme="10"/>
      <name val="Calibri"/>
      <family val="2"/>
      <scheme val="minor"/>
    </font>
    <font>
      <b/>
      <sz val="24"/>
      <color theme="8" tint="-0.499984740745262"/>
      <name val="Calibri"/>
      <family val="2"/>
      <scheme val="minor"/>
    </font>
    <font>
      <b/>
      <sz val="13"/>
      <color theme="5" tint="-0.499984740745262"/>
      <name val="Calibri"/>
      <family val="2"/>
      <scheme val="minor"/>
    </font>
    <font>
      <b/>
      <sz val="10"/>
      <name val="Calibri"/>
      <family val="2"/>
      <scheme val="minor"/>
    </font>
    <font>
      <b/>
      <sz val="12"/>
      <color rgb="FF3F3F76"/>
      <name val="Calibri"/>
      <family val="2"/>
      <scheme val="minor"/>
    </font>
    <font>
      <sz val="9"/>
      <color theme="1"/>
      <name val="Calibri"/>
      <family val="2"/>
      <scheme val="minor"/>
    </font>
    <font>
      <sz val="9"/>
      <color rgb="FF3F3F3F"/>
      <name val="Calibri"/>
      <family val="2"/>
      <scheme val="minor"/>
    </font>
    <font>
      <sz val="12"/>
      <color theme="1"/>
      <name val="Segoe UI"/>
      <family val="2"/>
    </font>
    <font>
      <sz val="11"/>
      <color theme="1"/>
      <name val="MS Gothic"/>
      <family val="3"/>
    </font>
    <font>
      <sz val="12"/>
      <color theme="1"/>
      <name val="Meiryo"/>
      <family val="2"/>
      <charset val="128"/>
    </font>
    <font>
      <b/>
      <sz val="12"/>
      <color theme="1"/>
      <name val="Calibri"/>
      <family val="2"/>
      <scheme val="minor"/>
    </font>
    <font>
      <b/>
      <u/>
      <sz val="12"/>
      <color theme="1"/>
      <name val="Calibri"/>
      <family val="2"/>
      <scheme val="minor"/>
    </font>
    <font>
      <u/>
      <sz val="12"/>
      <color theme="1"/>
      <name val="Calibri"/>
      <family val="2"/>
      <scheme val="minor"/>
    </font>
    <font>
      <i/>
      <sz val="12"/>
      <color rgb="FF7F7F7F"/>
      <name val="Calibri"/>
      <family val="2"/>
      <scheme val="minor"/>
    </font>
    <font>
      <b/>
      <sz val="9"/>
      <color theme="0"/>
      <name val="Calibri"/>
      <family val="2"/>
      <scheme val="minor"/>
    </font>
    <font>
      <b/>
      <sz val="9"/>
      <name val="Calibri"/>
      <family val="2"/>
      <scheme val="minor"/>
    </font>
    <font>
      <u/>
      <sz val="10"/>
      <color theme="10"/>
      <name val="Calibri"/>
      <family val="2"/>
      <scheme val="minor"/>
    </font>
    <font>
      <b/>
      <sz val="18"/>
      <color theme="8" tint="-0.499984740745262"/>
      <name val="Calibri"/>
      <family val="2"/>
      <scheme val="minor"/>
    </font>
    <font>
      <sz val="12"/>
      <color rgb="FF7F7F7F"/>
      <name val="Calibri"/>
      <family val="2"/>
      <scheme val="minor"/>
    </font>
    <font>
      <u/>
      <sz val="12"/>
      <color rgb="FF0563C1"/>
      <name val="Calibri"/>
      <family val="2"/>
      <scheme val="minor"/>
    </font>
    <font>
      <sz val="11"/>
      <color theme="1" tint="0.34998626667073579"/>
      <name val="Calibri"/>
      <family val="2"/>
      <scheme val="minor"/>
    </font>
    <font>
      <b/>
      <sz val="14"/>
      <color theme="1"/>
      <name val="Calibri"/>
      <family val="2"/>
      <scheme val="minor"/>
    </font>
    <font>
      <b/>
      <sz val="12"/>
      <color theme="4" tint="-0.499984740745262"/>
      <name val="Calibri"/>
      <family val="2"/>
      <scheme val="minor"/>
    </font>
    <font>
      <sz val="7"/>
      <color theme="1"/>
      <name val="Times New Roman"/>
      <family val="1"/>
    </font>
    <font>
      <sz val="11"/>
      <name val="Arial"/>
      <family val="2"/>
    </font>
    <font>
      <i/>
      <sz val="11"/>
      <color theme="0" tint="-0.499984740745262"/>
      <name val="Calibri"/>
      <family val="2"/>
      <scheme val="minor"/>
    </font>
    <font>
      <b/>
      <sz val="11"/>
      <color theme="1" tint="0.34998626667073579"/>
      <name val="Calibri"/>
      <family val="2"/>
      <scheme val="minor"/>
    </font>
    <font>
      <b/>
      <sz val="11"/>
      <name val="Arial"/>
      <family val="2"/>
    </font>
    <font>
      <b/>
      <sz val="18"/>
      <color theme="3"/>
      <name val="Calibri"/>
      <family val="2"/>
      <scheme val="minor"/>
    </font>
    <font>
      <b/>
      <sz val="22"/>
      <color theme="9" tint="-0.249977111117893"/>
      <name val="Wingdings"/>
      <charset val="2"/>
    </font>
    <font>
      <sz val="12"/>
      <color theme="0" tint="-0.249977111117893"/>
      <name val="Calibri"/>
      <family val="2"/>
      <scheme val="minor"/>
    </font>
    <font>
      <b/>
      <sz val="22"/>
      <color theme="3"/>
      <name val="Calibri"/>
      <family val="2"/>
      <scheme val="minor"/>
    </font>
    <font>
      <b/>
      <sz val="11"/>
      <color theme="4"/>
      <name val="Calibri"/>
      <family val="2"/>
      <scheme val="minor"/>
    </font>
    <font>
      <i/>
      <sz val="11"/>
      <color theme="1" tint="0.499984740745262"/>
      <name val="Calibri"/>
      <family val="2"/>
      <scheme val="minor"/>
    </font>
    <font>
      <sz val="22"/>
      <color rgb="FFFF0000"/>
      <name val="Wingdings"/>
      <charset val="2"/>
    </font>
    <font>
      <b/>
      <sz val="22"/>
      <color rgb="FFFF0000"/>
      <name val="Wingdings"/>
      <charset val="2"/>
    </font>
    <font>
      <sz val="18"/>
      <color theme="1"/>
      <name val="Calibri"/>
      <family val="2"/>
      <scheme val="minor"/>
    </font>
    <font>
      <u/>
      <sz val="14"/>
      <color theme="10"/>
      <name val="Calibri"/>
      <family val="2"/>
      <scheme val="minor"/>
    </font>
    <font>
      <sz val="10"/>
      <color rgb="FF444444"/>
      <name val="Open Sans"/>
      <family val="2"/>
    </font>
    <font>
      <b/>
      <sz val="16"/>
      <color rgb="FF4472C4"/>
      <name val="Arial"/>
      <family val="2"/>
    </font>
    <font>
      <i/>
      <sz val="10"/>
      <color rgb="FF808080"/>
      <name val="Arial"/>
      <family val="2"/>
    </font>
    <font>
      <b/>
      <sz val="12"/>
      <color theme="1"/>
      <name val="Arial"/>
      <family val="2"/>
    </font>
    <font>
      <sz val="10"/>
      <color theme="1"/>
      <name val="Calibri"/>
      <family val="2"/>
      <scheme val="minor"/>
    </font>
    <font>
      <b/>
      <sz val="11"/>
      <color rgb="FFFFFFFF"/>
      <name val="Arial"/>
      <family val="2"/>
    </font>
    <font>
      <b/>
      <sz val="11"/>
      <color theme="1"/>
      <name val="Arial"/>
      <family val="2"/>
    </font>
    <font>
      <sz val="9"/>
      <color theme="1"/>
      <name val="Arial"/>
      <family val="2"/>
    </font>
    <font>
      <sz val="11"/>
      <color rgb="FF262626"/>
      <name val="Segoe UI"/>
      <family val="2"/>
    </font>
    <font>
      <sz val="12"/>
      <color theme="4"/>
      <name val="Calibri"/>
      <family val="2"/>
      <scheme val="minor"/>
    </font>
    <font>
      <sz val="8"/>
      <color theme="1"/>
      <name val="Calibri"/>
      <family val="2"/>
      <scheme val="minor"/>
    </font>
    <font>
      <b/>
      <sz val="12"/>
      <color rgb="FFFFFFFF"/>
      <name val="Montserrat"/>
    </font>
    <font>
      <sz val="10"/>
      <color rgb="FFFFFFFF"/>
      <name val="Montserrat"/>
    </font>
    <font>
      <b/>
      <sz val="10"/>
      <color rgb="FFFFFFFF"/>
      <name val="Montserrat"/>
    </font>
    <font>
      <b/>
      <sz val="11"/>
      <color rgb="FF132E57"/>
      <name val="Montserrat"/>
    </font>
    <font>
      <sz val="10"/>
      <color rgb="FF2E4369"/>
      <name val="Montserrat"/>
    </font>
    <font>
      <b/>
      <sz val="10"/>
      <color rgb="FF132E57"/>
      <name val="Montserrat"/>
    </font>
    <font>
      <b/>
      <sz val="10"/>
      <color rgb="FF2E4369"/>
      <name val="Montserrat"/>
    </font>
    <font>
      <sz val="10"/>
      <color rgb="FF132E57"/>
      <name val="Montserrat"/>
    </font>
    <font>
      <sz val="11"/>
      <color theme="0"/>
      <name val="Calibri"/>
      <family val="2"/>
      <scheme val="minor"/>
    </font>
    <font>
      <b/>
      <sz val="14"/>
      <color theme="4"/>
      <name val="Calibri"/>
      <family val="2"/>
      <scheme val="minor"/>
    </font>
    <font>
      <sz val="12"/>
      <color rgb="FFFF0000"/>
      <name val="Calibri"/>
      <family val="2"/>
      <scheme val="minor"/>
    </font>
    <font>
      <sz val="12"/>
      <color theme="1"/>
      <name val="Verdana Pro Black"/>
      <family val="2"/>
    </font>
    <font>
      <b/>
      <sz val="14"/>
      <color theme="9" tint="-0.499984740745262"/>
      <name val="Calibri"/>
      <family val="2"/>
      <scheme val="minor"/>
    </font>
    <font>
      <sz val="8"/>
      <name val="Calibri"/>
      <family val="2"/>
      <scheme val="minor"/>
    </font>
    <font>
      <b/>
      <sz val="10"/>
      <name val="Arial"/>
      <family val="2"/>
    </font>
    <font>
      <sz val="11"/>
      <color theme="4"/>
      <name val="Arial"/>
      <family val="2"/>
    </font>
    <font>
      <b/>
      <sz val="11"/>
      <color theme="4"/>
      <name val="Arial"/>
      <family val="2"/>
    </font>
    <font>
      <b/>
      <i/>
      <sz val="11"/>
      <color rgb="FFFFFFFF"/>
      <name val="Arial"/>
      <family val="2"/>
    </font>
    <font>
      <b/>
      <i/>
      <sz val="11"/>
      <color theme="4"/>
      <name val="Arial"/>
      <family val="2"/>
    </font>
    <font>
      <i/>
      <sz val="11"/>
      <color theme="4"/>
      <name val="Arial"/>
      <family val="2"/>
    </font>
    <font>
      <b/>
      <i/>
      <sz val="11"/>
      <color theme="1"/>
      <name val="Arial"/>
      <family val="2"/>
    </font>
    <font>
      <sz val="11"/>
      <color theme="1" tint="0.499984740745262"/>
      <name val="Arial"/>
      <family val="2"/>
    </font>
    <font>
      <strike/>
      <sz val="11"/>
      <name val="Arial"/>
      <family val="2"/>
    </font>
    <font>
      <b/>
      <sz val="11"/>
      <color theme="5"/>
      <name val="Arial"/>
      <family val="2"/>
    </font>
    <font>
      <b/>
      <sz val="11"/>
      <color theme="9" tint="-0.249977111117893"/>
      <name val="Arial"/>
      <family val="2"/>
    </font>
    <font>
      <sz val="11"/>
      <color theme="4"/>
      <name val="Calibri"/>
      <family val="2"/>
      <scheme val="minor"/>
    </font>
    <font>
      <sz val="11"/>
      <color rgb="FFFF0000"/>
      <name val="Arial"/>
      <family val="2"/>
    </font>
    <font>
      <b/>
      <sz val="16"/>
      <color rgb="FF4472C4"/>
      <name val="Arial"/>
      <family val="2"/>
    </font>
    <font>
      <sz val="11"/>
      <color theme="1"/>
      <name val="Arial"/>
      <family val="2"/>
    </font>
    <font>
      <sz val="12"/>
      <color theme="1" tint="0.499984740745262"/>
      <name val="Calibri"/>
      <family val="2"/>
      <scheme val="minor"/>
    </font>
    <font>
      <b/>
      <sz val="12"/>
      <color theme="4"/>
      <name val="Calibri"/>
      <family val="2"/>
      <scheme val="minor"/>
    </font>
    <font>
      <b/>
      <sz val="16"/>
      <color theme="8" tint="-0.499984740745262"/>
      <name val="Calibri"/>
      <family val="2"/>
      <scheme val="minor"/>
    </font>
    <font>
      <vertAlign val="superscript"/>
      <sz val="18"/>
      <name val="Calibri"/>
      <family val="2"/>
      <scheme val="minor"/>
    </font>
    <font>
      <b/>
      <sz val="18"/>
      <color theme="1"/>
      <name val="Calibri"/>
      <family val="2"/>
      <scheme val="minor"/>
    </font>
    <font>
      <b/>
      <i/>
      <sz val="11"/>
      <color rgb="FFFF0000"/>
      <name val="Arial"/>
      <family val="2"/>
    </font>
    <font>
      <i/>
      <sz val="11"/>
      <color theme="1"/>
      <name val="Calibri"/>
      <family val="2"/>
      <scheme val="minor"/>
    </font>
    <font>
      <sz val="16"/>
      <color theme="1"/>
      <name val="Calibri"/>
      <family val="2"/>
      <scheme val="minor"/>
    </font>
    <font>
      <sz val="12"/>
      <color rgb="FF000000"/>
      <name val="Calibri"/>
      <family val="2"/>
      <scheme val="minor"/>
    </font>
    <font>
      <b/>
      <sz val="16"/>
      <color theme="4" tint="-0.249977111117893"/>
      <name val="Calibri"/>
      <family val="2"/>
      <scheme val="minor"/>
    </font>
    <font>
      <b/>
      <sz val="20"/>
      <color theme="4" tint="-0.249977111117893"/>
      <name val="Calibri"/>
      <family val="2"/>
      <scheme val="minor"/>
    </font>
    <font>
      <b/>
      <sz val="16"/>
      <color theme="9" tint="-0.499984740745262"/>
      <name val="Calibri"/>
      <family val="2"/>
      <scheme val="minor"/>
    </font>
    <font>
      <b/>
      <sz val="20"/>
      <color theme="9" tint="-0.499984740745262"/>
      <name val="Calibri"/>
      <family val="2"/>
      <scheme val="minor"/>
    </font>
    <font>
      <b/>
      <sz val="12"/>
      <color theme="8" tint="-0.499984740745262"/>
      <name val="Calibri"/>
      <family val="2"/>
      <scheme val="minor"/>
    </font>
  </fonts>
  <fills count="30">
    <fill>
      <patternFill patternType="none"/>
    </fill>
    <fill>
      <patternFill patternType="gray125"/>
    </fill>
    <fill>
      <patternFill patternType="solid">
        <fgColor rgb="FFF2F2F2"/>
      </patternFill>
    </fill>
    <fill>
      <patternFill patternType="solid">
        <fgColor theme="9" tint="-0.249977111117893"/>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8" tint="0.79998168889431442"/>
        <bgColor indexed="64"/>
      </patternFill>
    </fill>
    <fill>
      <patternFill patternType="solid">
        <fgColor theme="8" tint="0.59996337778862885"/>
        <bgColor indexed="64"/>
      </patternFill>
    </fill>
    <fill>
      <patternFill patternType="solid">
        <fgColor theme="4" tint="0.79998168889431442"/>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rgb="FFF5F5F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F2F5F7"/>
        <bgColor rgb="FFF2F5F7"/>
      </patternFill>
    </fill>
    <fill>
      <patternFill patternType="solid">
        <fgColor rgb="FF2E4369"/>
        <bgColor rgb="FF2E4369"/>
      </patternFill>
    </fill>
    <fill>
      <patternFill patternType="solid">
        <fgColor theme="8"/>
      </patternFill>
    </fill>
    <fill>
      <patternFill patternType="solid">
        <fgColor rgb="FFECF2F8"/>
        <bgColor indexed="64"/>
      </patternFill>
    </fill>
    <fill>
      <patternFill patternType="solid">
        <fgColor theme="6" tint="0.79998168889431442"/>
        <bgColor indexed="65"/>
      </patternFill>
    </fill>
    <fill>
      <patternFill patternType="solid">
        <fgColor theme="9" tint="0.79998168889431442"/>
        <bgColor indexed="64"/>
      </patternFill>
    </fill>
    <fill>
      <patternFill patternType="solid">
        <fgColor theme="5" tint="0.79998168889431442"/>
        <bgColor indexed="64"/>
      </patternFill>
    </fill>
  </fills>
  <borders count="68">
    <border>
      <left/>
      <right/>
      <top/>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double">
        <color theme="0"/>
      </top>
      <bottom style="thin">
        <color theme="0"/>
      </bottom>
      <diagonal/>
    </border>
    <border>
      <left/>
      <right/>
      <top/>
      <bottom style="thick">
        <color theme="8" tint="-0.499984740745262"/>
      </bottom>
      <diagonal/>
    </border>
    <border>
      <left style="thin">
        <color theme="0"/>
      </left>
      <right style="thin">
        <color theme="0"/>
      </right>
      <top style="thick">
        <color theme="0"/>
      </top>
      <bottom style="thin">
        <color theme="0"/>
      </bottom>
      <diagonal/>
    </border>
    <border>
      <left/>
      <right/>
      <top style="thin">
        <color theme="0"/>
      </top>
      <bottom style="thin">
        <color theme="0"/>
      </bottom>
      <diagonal/>
    </border>
    <border>
      <left style="medium">
        <color theme="0"/>
      </left>
      <right style="medium">
        <color theme="0"/>
      </right>
      <top style="medium">
        <color theme="0"/>
      </top>
      <bottom/>
      <diagonal/>
    </border>
    <border>
      <left style="medium">
        <color rgb="FFBDD6EE"/>
      </left>
      <right style="medium">
        <color rgb="FFBDD6EE"/>
      </right>
      <top style="medium">
        <color rgb="FFBDD6EE"/>
      </top>
      <bottom style="thick">
        <color rgb="FF9CC2E5"/>
      </bottom>
      <diagonal/>
    </border>
    <border>
      <left/>
      <right style="medium">
        <color rgb="FFBDD6EE"/>
      </right>
      <top style="medium">
        <color rgb="FFBDD6EE"/>
      </top>
      <bottom style="thick">
        <color rgb="FF9CC2E5"/>
      </bottom>
      <diagonal/>
    </border>
    <border>
      <left style="medium">
        <color rgb="FFBDD6EE"/>
      </left>
      <right style="medium">
        <color rgb="FFBDD6EE"/>
      </right>
      <top/>
      <bottom style="medium">
        <color rgb="FFBDD6EE"/>
      </bottom>
      <diagonal/>
    </border>
    <border>
      <left/>
      <right style="medium">
        <color rgb="FFBDD6EE"/>
      </right>
      <top/>
      <bottom style="medium">
        <color rgb="FFBDD6EE"/>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medium">
        <color rgb="FFBDD6EE"/>
      </bottom>
      <diagonal/>
    </border>
    <border>
      <left style="medium">
        <color rgb="FFBDD6EE"/>
      </left>
      <right/>
      <top style="medium">
        <color rgb="FFBDD6EE"/>
      </top>
      <bottom/>
      <diagonal/>
    </border>
    <border>
      <left/>
      <right/>
      <top style="medium">
        <color rgb="FFBDD6EE"/>
      </top>
      <bottom/>
      <diagonal/>
    </border>
    <border>
      <left/>
      <right style="medium">
        <color rgb="FFBDD6EE"/>
      </right>
      <top style="medium">
        <color rgb="FFBDD6EE"/>
      </top>
      <bottom/>
      <diagonal/>
    </border>
    <border>
      <left style="medium">
        <color rgb="FFBDD6EE"/>
      </left>
      <right/>
      <top/>
      <bottom/>
      <diagonal/>
    </border>
    <border>
      <left/>
      <right style="medium">
        <color rgb="FFBDD6EE"/>
      </right>
      <top/>
      <bottom/>
      <diagonal/>
    </border>
    <border>
      <left style="medium">
        <color rgb="FFBDD6EE"/>
      </left>
      <right/>
      <top/>
      <bottom style="medium">
        <color rgb="FFBDD6EE"/>
      </bottom>
      <diagonal/>
    </border>
    <border>
      <left style="thin">
        <color indexed="64"/>
      </left>
      <right style="thin">
        <color indexed="64"/>
      </right>
      <top style="thin">
        <color indexed="64"/>
      </top>
      <bottom style="thin">
        <color indexed="64"/>
      </bottom>
      <diagonal/>
    </border>
    <border>
      <left/>
      <right/>
      <top/>
      <bottom style="thick">
        <color theme="4" tint="0.4999847407452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rgb="FFFFFFFF"/>
      </top>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rgb="FFFFFFFF"/>
      </top>
      <bottom style="medium">
        <color rgb="FFFFFFFF"/>
      </bottom>
      <diagonal/>
    </border>
    <border>
      <left/>
      <right/>
      <top/>
      <bottom style="medium">
        <color rgb="FFFFFFFF"/>
      </bottom>
      <diagonal/>
    </border>
    <border>
      <left/>
      <right/>
      <top/>
      <bottom style="thin">
        <color rgb="FF2E4369"/>
      </bottom>
      <diagonal/>
    </border>
    <border>
      <left/>
      <right/>
      <top style="thin">
        <color rgb="FF000000"/>
      </top>
      <bottom style="double">
        <color rgb="FF2E4369"/>
      </bottom>
      <diagonal/>
    </border>
    <border>
      <left/>
      <right/>
      <top/>
      <bottom style="double">
        <color rgb="FF2E4369"/>
      </bottom>
      <diagonal/>
    </border>
    <border>
      <left/>
      <right/>
      <top style="thin">
        <color rgb="FF132E57"/>
      </top>
      <bottom style="double">
        <color rgb="FF132E57"/>
      </bottom>
      <diagonal/>
    </border>
    <border>
      <left/>
      <right/>
      <top/>
      <bottom style="thin">
        <color rgb="FF000000"/>
      </bottom>
      <diagonal/>
    </border>
    <border>
      <left/>
      <right/>
      <top style="thin">
        <color rgb="FF000000"/>
      </top>
      <bottom style="double">
        <color rgb="FF000000"/>
      </bottom>
      <diagonal/>
    </border>
    <border>
      <left/>
      <right/>
      <top style="thin">
        <color indexed="64"/>
      </top>
      <bottom style="thin">
        <color rgb="FF132E57"/>
      </bottom>
      <diagonal/>
    </border>
    <border>
      <left style="thin">
        <color theme="0"/>
      </left>
      <right style="thin">
        <color theme="0"/>
      </right>
      <top/>
      <bottom style="thin">
        <color theme="0"/>
      </bottom>
      <diagonal/>
    </border>
    <border>
      <left style="thin">
        <color theme="0"/>
      </left>
      <right style="thin">
        <color theme="0"/>
      </right>
      <top style="thin">
        <color theme="0"/>
      </top>
      <bottom style="thick">
        <color theme="0"/>
      </bottom>
      <diagonal/>
    </border>
    <border>
      <left/>
      <right/>
      <top/>
      <bottom style="thin">
        <color rgb="FFFFFFFF"/>
      </bottom>
      <diagonal/>
    </border>
    <border>
      <left/>
      <right/>
      <top style="thick">
        <color theme="1" tint="0.499984740745262"/>
      </top>
      <bottom/>
      <diagonal/>
    </border>
    <border>
      <left/>
      <right/>
      <top style="thin">
        <color indexed="64"/>
      </top>
      <bottom style="double">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rgb="FFBDD6EE"/>
      </left>
      <right/>
      <top style="medium">
        <color rgb="FFBDD6EE"/>
      </top>
      <bottom style="medium">
        <color rgb="FFBDD6EE"/>
      </bottom>
      <diagonal/>
    </border>
    <border>
      <left/>
      <right/>
      <top style="medium">
        <color rgb="FFBDD6EE"/>
      </top>
      <bottom style="medium">
        <color rgb="FFBDD6EE"/>
      </bottom>
      <diagonal/>
    </border>
    <border>
      <left/>
      <right style="medium">
        <color rgb="FFBDD6EE"/>
      </right>
      <top style="medium">
        <color rgb="FFBDD6EE"/>
      </top>
      <bottom style="medium">
        <color rgb="FFBDD6EE"/>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0"/>
      </left>
      <right/>
      <top/>
      <bottom/>
      <diagonal/>
    </border>
  </borders>
  <cellStyleXfs count="28">
    <xf numFmtId="0" fontId="0" fillId="0" borderId="0" applyNumberFormat="0" applyFill="0" applyBorder="0" applyAlignment="0" applyProtection="0"/>
    <xf numFmtId="3" fontId="22" fillId="0" borderId="0" applyFont="0" applyFill="0" applyBorder="0" applyAlignment="0" applyProtection="0"/>
    <xf numFmtId="0" fontId="26" fillId="0" borderId="0" applyNumberFormat="0" applyFill="0" applyBorder="0" applyAlignment="0" applyProtection="0"/>
    <xf numFmtId="0" fontId="24" fillId="0" borderId="11" applyNumberFormat="0" applyFill="0" applyBorder="0" applyAlignment="0" applyProtection="0"/>
    <xf numFmtId="0" fontId="27" fillId="0" borderId="0" applyNumberFormat="0" applyFill="0" applyAlignment="0" applyProtection="0"/>
    <xf numFmtId="0" fontId="13" fillId="13" borderId="9" applyNumberFormat="0" applyFont="0">
      <alignment vertical="center" wrapText="1"/>
      <protection locked="0" hidden="1"/>
    </xf>
    <xf numFmtId="0" fontId="10" fillId="2" borderId="2" applyNumberFormat="0" applyAlignment="0" applyProtection="0"/>
    <xf numFmtId="0" fontId="14" fillId="9" borderId="3" applyNumberFormat="0" applyFont="0">
      <alignment vertical="center" wrapText="1"/>
    </xf>
    <xf numFmtId="0" fontId="45" fillId="0" borderId="0" applyNumberFormat="0" applyFill="0" applyBorder="0" applyProtection="0">
      <alignment vertical="center" wrapText="1"/>
    </xf>
    <xf numFmtId="0" fontId="13" fillId="10" borderId="3" applyNumberFormat="0" applyFont="0">
      <alignment horizontal="left" vertical="center" wrapText="1"/>
      <protection hidden="1"/>
    </xf>
    <xf numFmtId="0" fontId="21" fillId="12" borderId="9" applyNumberFormat="0">
      <alignment horizontal="center" wrapText="1"/>
    </xf>
    <xf numFmtId="9" fontId="28" fillId="10" borderId="10" applyNumberFormat="0" applyFont="0" applyAlignment="0" applyProtection="0">
      <alignment vertical="center" wrapText="1"/>
    </xf>
    <xf numFmtId="0" fontId="25" fillId="0" borderId="0" applyNumberFormat="0" applyFill="0" applyBorder="0" applyAlignment="0" applyProtection="0"/>
    <xf numFmtId="0" fontId="23" fillId="0" borderId="0" applyNumberFormat="0" applyFill="0" applyBorder="0" applyAlignment="0" applyProtection="0"/>
    <xf numFmtId="164" fontId="22" fillId="0" borderId="0" applyFont="0" applyFill="0" applyBorder="0" applyAlignment="0" applyProtection="0"/>
    <xf numFmtId="0" fontId="15" fillId="0" borderId="5" applyNumberFormat="0" applyFill="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0" borderId="6" applyNumberFormat="0" applyFill="0" applyAlignment="0" applyProtection="0"/>
    <xf numFmtId="0" fontId="20" fillId="8" borderId="7" applyNumberFormat="0" applyAlignment="0" applyProtection="0"/>
    <xf numFmtId="0" fontId="11" fillId="11" borderId="12" applyNumberFormat="0" applyFont="0" applyFill="0" applyAlignment="0" applyProtection="0">
      <alignment wrapText="1"/>
    </xf>
    <xf numFmtId="9" fontId="22" fillId="0" borderId="0" applyFont="0" applyFill="0" applyBorder="0" applyAlignment="0" applyProtection="0"/>
    <xf numFmtId="0" fontId="82" fillId="25" borderId="0" applyNumberFormat="0" applyBorder="0" applyAlignment="0" applyProtection="0"/>
    <xf numFmtId="0" fontId="13" fillId="26" borderId="3" applyNumberFormat="0">
      <alignment vertical="center" wrapText="1"/>
    </xf>
    <xf numFmtId="9" fontId="88" fillId="9" borderId="10" applyNumberFormat="0">
      <alignment vertical="center" wrapText="1"/>
    </xf>
    <xf numFmtId="0" fontId="7" fillId="0" borderId="0"/>
    <xf numFmtId="0" fontId="5" fillId="27" borderId="0" applyNumberFormat="0" applyBorder="0" applyAlignment="0" applyProtection="0"/>
  </cellStyleXfs>
  <cellXfs count="401">
    <xf numFmtId="0" fontId="0" fillId="0" borderId="0" xfId="0"/>
    <xf numFmtId="3" fontId="25" fillId="0" borderId="0" xfId="12" applyNumberFormat="1"/>
    <xf numFmtId="0" fontId="26" fillId="0" borderId="0" xfId="2"/>
    <xf numFmtId="0" fontId="24" fillId="0" borderId="11" xfId="3"/>
    <xf numFmtId="0" fontId="24" fillId="0" borderId="11" xfId="3" applyAlignment="1"/>
    <xf numFmtId="0" fontId="13" fillId="0" borderId="0" xfId="0" applyFont="1" applyBorder="1" applyAlignment="1"/>
    <xf numFmtId="0" fontId="0" fillId="0" borderId="1" xfId="0" applyBorder="1"/>
    <xf numFmtId="0" fontId="0" fillId="0" borderId="0" xfId="0" applyBorder="1" applyAlignment="1"/>
    <xf numFmtId="0" fontId="0" fillId="3" borderId="0" xfId="0" applyFill="1"/>
    <xf numFmtId="0" fontId="0" fillId="4" borderId="0" xfId="0" applyFill="1"/>
    <xf numFmtId="0" fontId="0" fillId="0" borderId="0" xfId="0" quotePrefix="1"/>
    <xf numFmtId="0" fontId="0" fillId="0" borderId="0" xfId="0" applyAlignment="1">
      <alignment wrapText="1"/>
    </xf>
    <xf numFmtId="0" fontId="0" fillId="0" borderId="0" xfId="0" applyNumberFormat="1"/>
    <xf numFmtId="0" fontId="21" fillId="12" borderId="3" xfId="10" applyBorder="1">
      <alignment horizontal="center" wrapText="1"/>
    </xf>
    <xf numFmtId="0" fontId="9" fillId="13" borderId="9" xfId="5" applyFont="1">
      <alignment vertical="center" wrapText="1"/>
      <protection locked="0" hidden="1"/>
    </xf>
    <xf numFmtId="6" fontId="0" fillId="0" borderId="0" xfId="0" applyNumberFormat="1"/>
    <xf numFmtId="3" fontId="0" fillId="0" borderId="0" xfId="0" applyNumberFormat="1"/>
    <xf numFmtId="0" fontId="0" fillId="10" borderId="3" xfId="9" applyFont="1">
      <alignment horizontal="left" vertical="center" wrapText="1"/>
      <protection hidden="1"/>
    </xf>
    <xf numFmtId="0" fontId="0" fillId="10" borderId="0" xfId="9" applyFont="1" applyBorder="1">
      <alignment horizontal="left" vertical="center" wrapText="1"/>
      <protection hidden="1"/>
    </xf>
    <xf numFmtId="0" fontId="27" fillId="0" borderId="0" xfId="4"/>
    <xf numFmtId="0" fontId="0" fillId="10" borderId="10" xfId="11" applyNumberFormat="1" applyFont="1">
      <alignment vertical="center" wrapText="1"/>
    </xf>
    <xf numFmtId="0" fontId="0" fillId="9" borderId="3" xfId="7" applyFont="1">
      <alignment vertical="center" wrapText="1"/>
    </xf>
    <xf numFmtId="1" fontId="0" fillId="0" borderId="0" xfId="0" applyNumberFormat="1"/>
    <xf numFmtId="1" fontId="0" fillId="9" borderId="3" xfId="7" applyNumberFormat="1" applyFont="1" applyAlignment="1">
      <alignment horizontal="right" vertical="center" wrapText="1"/>
    </xf>
    <xf numFmtId="1" fontId="0" fillId="0" borderId="0" xfId="0" applyNumberFormat="1" applyAlignment="1">
      <alignment horizontal="right"/>
    </xf>
    <xf numFmtId="1" fontId="0" fillId="10" borderId="10" xfId="11" applyNumberFormat="1" applyFont="1" applyAlignment="1">
      <alignment horizontal="right" vertical="center" wrapText="1"/>
    </xf>
    <xf numFmtId="0" fontId="0" fillId="10" borderId="4" xfId="9" applyFont="1" applyBorder="1">
      <alignment horizontal="left" vertical="center" wrapText="1"/>
      <protection hidden="1"/>
    </xf>
    <xf numFmtId="0" fontId="10" fillId="9" borderId="3" xfId="7" applyFont="1">
      <alignment vertical="center" wrapText="1"/>
    </xf>
    <xf numFmtId="166" fontId="10" fillId="9" borderId="3" xfId="7" applyNumberFormat="1" applyFont="1">
      <alignment vertical="center" wrapText="1"/>
    </xf>
    <xf numFmtId="165" fontId="10" fillId="9" borderId="3" xfId="7" applyNumberFormat="1" applyFont="1">
      <alignment vertical="center" wrapText="1"/>
    </xf>
    <xf numFmtId="168" fontId="10" fillId="9" borderId="3" xfId="7" applyNumberFormat="1" applyFont="1">
      <alignment vertical="center" wrapText="1"/>
    </xf>
    <xf numFmtId="167" fontId="10" fillId="9" borderId="3" xfId="7" applyNumberFormat="1" applyFont="1">
      <alignment vertical="center" wrapText="1"/>
    </xf>
    <xf numFmtId="0" fontId="21" fillId="12" borderId="9" xfId="10">
      <alignment horizontal="center" wrapText="1"/>
    </xf>
    <xf numFmtId="0" fontId="12" fillId="13" borderId="9" xfId="5" applyFont="1" applyAlignment="1">
      <alignment horizontal="center" vertical="center" wrapText="1"/>
      <protection locked="0" hidden="1"/>
    </xf>
    <xf numFmtId="14" fontId="21" fillId="12" borderId="9" xfId="10" applyNumberFormat="1">
      <alignment horizontal="center" wrapText="1"/>
    </xf>
    <xf numFmtId="0" fontId="0" fillId="0" borderId="0" xfId="0" applyAlignment="1">
      <alignment horizontal="center"/>
    </xf>
    <xf numFmtId="0" fontId="0" fillId="13" borderId="9" xfId="5" applyFont="1" applyAlignment="1">
      <alignment horizontal="center" vertical="center" wrapText="1"/>
      <protection locked="0" hidden="1"/>
    </xf>
    <xf numFmtId="0" fontId="45" fillId="0" borderId="0" xfId="8">
      <alignment vertical="center" wrapText="1"/>
    </xf>
    <xf numFmtId="0" fontId="45" fillId="0" borderId="0" xfId="8" applyAlignment="1">
      <alignment horizontal="left" vertical="center" wrapText="1"/>
    </xf>
    <xf numFmtId="0" fontId="0" fillId="9" borderId="3" xfId="7" applyFont="1" applyAlignment="1">
      <alignment vertical="center"/>
    </xf>
    <xf numFmtId="0" fontId="0" fillId="0" borderId="0" xfId="0" applyAlignment="1">
      <alignment vertical="center"/>
    </xf>
    <xf numFmtId="169" fontId="0" fillId="9" borderId="3" xfId="7" applyNumberFormat="1" applyFont="1">
      <alignment vertical="center" wrapText="1"/>
    </xf>
    <xf numFmtId="0" fontId="31" fillId="2" borderId="2" xfId="6" applyFont="1" applyAlignment="1">
      <alignment vertical="center" wrapText="1"/>
    </xf>
    <xf numFmtId="0" fontId="0" fillId="13" borderId="9" xfId="5" applyFont="1">
      <alignment vertical="center" wrapText="1"/>
      <protection locked="0" hidden="1"/>
    </xf>
    <xf numFmtId="3" fontId="0" fillId="9" borderId="3" xfId="1" applyFont="1" applyFill="1" applyBorder="1" applyAlignment="1">
      <alignment vertical="center" wrapText="1"/>
    </xf>
    <xf numFmtId="3" fontId="0" fillId="10" borderId="10" xfId="1" applyFont="1" applyFill="1" applyBorder="1" applyAlignment="1">
      <alignment vertical="center" wrapText="1"/>
    </xf>
    <xf numFmtId="0" fontId="24" fillId="0" borderId="0" xfId="3" applyBorder="1"/>
    <xf numFmtId="0" fontId="0" fillId="0" borderId="0" xfId="0" applyAlignment="1">
      <alignment horizontal="right"/>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0" fillId="0" borderId="0" xfId="0" applyAlignment="1">
      <alignment horizontal="center" vertical="center"/>
    </xf>
    <xf numFmtId="0" fontId="36" fillId="0" borderId="0" xfId="0" applyFont="1" applyAlignment="1">
      <alignment horizontal="center"/>
    </xf>
    <xf numFmtId="0" fontId="45" fillId="0" borderId="0" xfId="8" applyAlignment="1">
      <alignment vertical="center"/>
    </xf>
    <xf numFmtId="0" fontId="35" fillId="0" borderId="0" xfId="0" applyFont="1" applyAlignment="1">
      <alignment vertical="center"/>
    </xf>
    <xf numFmtId="9" fontId="0" fillId="9" borderId="3" xfId="7" applyNumberFormat="1" applyFont="1">
      <alignment vertical="center" wrapText="1"/>
    </xf>
    <xf numFmtId="0" fontId="35" fillId="9" borderId="3" xfId="7" applyFont="1">
      <alignment vertical="center" wrapText="1"/>
    </xf>
    <xf numFmtId="9" fontId="35" fillId="9" borderId="3" xfId="7" applyNumberFormat="1" applyFont="1">
      <alignment vertical="center" wrapText="1"/>
    </xf>
    <xf numFmtId="164" fontId="0" fillId="0" borderId="0" xfId="14" applyFont="1"/>
    <xf numFmtId="9" fontId="0" fillId="13" borderId="9" xfId="5" applyNumberFormat="1" applyFont="1">
      <alignment vertical="center" wrapText="1"/>
      <protection locked="0" hidden="1"/>
    </xf>
    <xf numFmtId="164" fontId="0" fillId="9" borderId="3" xfId="7" applyNumberFormat="1" applyFont="1">
      <alignment vertical="center" wrapText="1"/>
    </xf>
    <xf numFmtId="0" fontId="0" fillId="9" borderId="3" xfId="7" applyNumberFormat="1" applyFont="1">
      <alignment vertical="center" wrapText="1"/>
    </xf>
    <xf numFmtId="0" fontId="37" fillId="0" borderId="0" xfId="0" applyFont="1" applyAlignment="1">
      <alignment horizontal="center"/>
    </xf>
    <xf numFmtId="0" fontId="37" fillId="0" borderId="0" xfId="0" applyFont="1" applyAlignment="1">
      <alignment horizontal="right"/>
    </xf>
    <xf numFmtId="0" fontId="45" fillId="0" borderId="0" xfId="8" applyAlignment="1">
      <alignment horizontal="right" vertical="center" wrapText="1"/>
    </xf>
    <xf numFmtId="0" fontId="26" fillId="0" borderId="0" xfId="2" applyBorder="1"/>
    <xf numFmtId="0" fontId="26" fillId="0" borderId="0" xfId="2" applyAlignment="1">
      <alignment vertical="center"/>
    </xf>
    <xf numFmtId="0" fontId="30" fillId="10" borderId="3" xfId="9" applyFont="1">
      <alignment horizontal="left" vertical="center" wrapText="1"/>
      <protection hidden="1"/>
    </xf>
    <xf numFmtId="6" fontId="0" fillId="9" borderId="3" xfId="7" applyNumberFormat="1" applyFont="1">
      <alignment vertical="center" wrapText="1"/>
    </xf>
    <xf numFmtId="0" fontId="30" fillId="0" borderId="0" xfId="0" applyFont="1"/>
    <xf numFmtId="0" fontId="39" fillId="12" borderId="9" xfId="10" applyFont="1">
      <alignment horizontal="center" wrapText="1"/>
    </xf>
    <xf numFmtId="0" fontId="30" fillId="9" borderId="3" xfId="7" applyFont="1">
      <alignment vertical="center" wrapText="1"/>
    </xf>
    <xf numFmtId="6" fontId="30" fillId="9" borderId="3" xfId="7" applyNumberFormat="1" applyFont="1">
      <alignment vertical="center" wrapText="1"/>
    </xf>
    <xf numFmtId="0" fontId="40" fillId="10" borderId="10" xfId="11" applyNumberFormat="1" applyFont="1">
      <alignment vertical="center" wrapText="1"/>
    </xf>
    <xf numFmtId="6" fontId="40" fillId="10" borderId="10" xfId="11" applyNumberFormat="1" applyFont="1">
      <alignment vertical="center" wrapText="1"/>
    </xf>
    <xf numFmtId="0" fontId="39" fillId="12" borderId="14" xfId="10" applyFont="1" applyBorder="1">
      <alignment horizontal="center" wrapText="1"/>
    </xf>
    <xf numFmtId="0" fontId="30" fillId="13" borderId="9" xfId="5" applyFont="1">
      <alignment vertical="center" wrapText="1"/>
      <protection locked="0" hidden="1"/>
    </xf>
    <xf numFmtId="14" fontId="0" fillId="0" borderId="0" xfId="0" applyNumberFormat="1"/>
    <xf numFmtId="170" fontId="0" fillId="0" borderId="0" xfId="0" applyNumberFormat="1"/>
    <xf numFmtId="14" fontId="21" fillId="12" borderId="9" xfId="10" quotePrefix="1" applyNumberFormat="1">
      <alignment horizontal="center" wrapText="1"/>
    </xf>
    <xf numFmtId="6" fontId="0" fillId="13" borderId="9" xfId="5" applyNumberFormat="1" applyFont="1">
      <alignment vertical="center" wrapText="1"/>
      <protection locked="0" hidden="1"/>
    </xf>
    <xf numFmtId="0" fontId="42" fillId="0" borderId="0" xfId="3" applyFont="1" applyBorder="1"/>
    <xf numFmtId="0" fontId="45" fillId="0" borderId="0" xfId="8" applyAlignment="1">
      <alignment vertical="top" wrapText="1"/>
    </xf>
    <xf numFmtId="0" fontId="27" fillId="0" borderId="0" xfId="4" applyAlignment="1">
      <alignment vertical="center"/>
    </xf>
    <xf numFmtId="0" fontId="25" fillId="0" borderId="0" xfId="12" applyAlignment="1">
      <alignment horizontal="left" vertical="center" wrapText="1" indent="2"/>
    </xf>
    <xf numFmtId="0" fontId="0" fillId="0" borderId="18" xfId="0" applyBorder="1" applyAlignment="1">
      <alignment horizontal="left" vertical="center" wrapText="1"/>
    </xf>
    <xf numFmtId="0" fontId="35" fillId="9" borderId="15" xfId="0" applyFont="1" applyFill="1" applyBorder="1" applyAlignment="1">
      <alignment horizontal="center" vertical="center" wrapText="1"/>
    </xf>
    <xf numFmtId="0" fontId="35" fillId="9" borderId="16" xfId="0" applyFont="1" applyFill="1" applyBorder="1" applyAlignment="1">
      <alignment horizontal="center" vertical="center" wrapText="1"/>
    </xf>
    <xf numFmtId="0" fontId="25" fillId="0" borderId="18" xfId="12" applyBorder="1" applyAlignment="1">
      <alignment horizontal="left" vertical="center" wrapText="1"/>
    </xf>
    <xf numFmtId="0" fontId="46" fillId="0" borderId="17" xfId="0" applyFont="1" applyBorder="1" applyAlignment="1">
      <alignment vertical="center" wrapText="1"/>
    </xf>
    <xf numFmtId="0" fontId="47" fillId="0" borderId="0" xfId="0" applyFont="1"/>
    <xf numFmtId="0" fontId="49" fillId="0" borderId="0" xfId="0" applyFont="1" applyAlignment="1">
      <alignment vertical="center" wrapText="1"/>
    </xf>
    <xf numFmtId="0" fontId="0" fillId="0" borderId="0" xfId="0" applyBorder="1"/>
    <xf numFmtId="0" fontId="50" fillId="0" borderId="0" xfId="0" applyFont="1" applyAlignment="1">
      <alignment horizontal="center" vertical="top"/>
    </xf>
    <xf numFmtId="0" fontId="45" fillId="0" borderId="22" xfId="0" applyFont="1" applyBorder="1" applyAlignment="1">
      <alignment horizontal="center"/>
    </xf>
    <xf numFmtId="0" fontId="51" fillId="0" borderId="22" xfId="0" applyFont="1" applyBorder="1" applyAlignment="1">
      <alignment horizontal="center"/>
    </xf>
    <xf numFmtId="0" fontId="52" fillId="0" borderId="0" xfId="0" applyFont="1"/>
    <xf numFmtId="0" fontId="46" fillId="0" borderId="0" xfId="0" applyFont="1" applyAlignment="1">
      <alignment vertical="center"/>
    </xf>
    <xf numFmtId="0" fontId="53" fillId="0" borderId="0" xfId="0" applyFont="1"/>
    <xf numFmtId="0" fontId="11" fillId="0" borderId="0" xfId="0" applyFont="1"/>
    <xf numFmtId="0" fontId="54" fillId="0" borderId="18" xfId="0" applyFont="1" applyBorder="1" applyAlignment="1">
      <alignment horizontal="center" vertical="center" wrapText="1"/>
    </xf>
    <xf numFmtId="0" fontId="56" fillId="0" borderId="0" xfId="0" applyFont="1"/>
    <xf numFmtId="0" fontId="0" fillId="0" borderId="31" xfId="0" applyBorder="1"/>
    <xf numFmtId="0" fontId="57" fillId="0" borderId="0" xfId="0" applyFont="1"/>
    <xf numFmtId="0" fontId="0" fillId="0" borderId="30" xfId="0" applyBorder="1"/>
    <xf numFmtId="1" fontId="0" fillId="14" borderId="30" xfId="0" applyNumberFormat="1" applyFill="1" applyBorder="1"/>
    <xf numFmtId="0" fontId="38" fillId="0" borderId="0" xfId="8" applyFont="1">
      <alignment vertical="center" wrapText="1"/>
    </xf>
    <xf numFmtId="0" fontId="25" fillId="0" borderId="0" xfId="12"/>
    <xf numFmtId="0" fontId="22" fillId="10" borderId="10" xfId="11" applyNumberFormat="1" applyFont="1" applyAlignment="1"/>
    <xf numFmtId="0" fontId="36" fillId="0" borderId="0" xfId="0" applyFont="1"/>
    <xf numFmtId="0" fontId="35" fillId="0" borderId="0" xfId="0" applyFont="1" applyAlignment="1">
      <alignment wrapText="1"/>
    </xf>
    <xf numFmtId="14" fontId="0" fillId="9" borderId="3" xfId="7" applyNumberFormat="1" applyFont="1">
      <alignment vertical="center" wrapText="1"/>
    </xf>
    <xf numFmtId="0" fontId="58" fillId="0" borderId="0" xfId="0" applyFont="1"/>
    <xf numFmtId="0" fontId="46" fillId="0" borderId="0" xfId="0" applyFont="1" applyFill="1" applyBorder="1" applyAlignment="1">
      <alignment vertical="center" wrapText="1"/>
    </xf>
    <xf numFmtId="0" fontId="59" fillId="0" borderId="18" xfId="0" applyFont="1" applyBorder="1" applyAlignment="1">
      <alignment horizontal="center" vertical="center" wrapText="1"/>
    </xf>
    <xf numFmtId="0" fontId="60" fillId="0" borderId="18" xfId="0" applyFont="1" applyBorder="1" applyAlignment="1">
      <alignment horizontal="center" vertical="center" wrapText="1"/>
    </xf>
    <xf numFmtId="0" fontId="61" fillId="0" borderId="0" xfId="0" applyFont="1"/>
    <xf numFmtId="0" fontId="62" fillId="0" borderId="0" xfId="12" applyFont="1"/>
    <xf numFmtId="0" fontId="35" fillId="0" borderId="17" xfId="0" applyFont="1" applyBorder="1" applyAlignment="1">
      <alignment vertical="center" wrapText="1"/>
    </xf>
    <xf numFmtId="0" fontId="64" fillId="0" borderId="0" xfId="0" applyFont="1" applyAlignment="1">
      <alignment horizontal="left"/>
    </xf>
    <xf numFmtId="0" fontId="69" fillId="19" borderId="35" xfId="0" applyFont="1" applyFill="1" applyBorder="1" applyAlignment="1">
      <alignment horizontal="left"/>
    </xf>
    <xf numFmtId="164" fontId="69" fillId="19" borderId="35" xfId="0" applyNumberFormat="1" applyFont="1" applyFill="1" applyBorder="1" applyAlignment="1">
      <alignment horizontal="left"/>
    </xf>
    <xf numFmtId="9" fontId="69" fillId="19" borderId="0" xfId="0" applyNumberFormat="1" applyFont="1" applyFill="1" applyAlignment="1">
      <alignment horizontal="left"/>
    </xf>
    <xf numFmtId="0" fontId="68" fillId="18" borderId="37" xfId="0" applyFont="1" applyFill="1" applyBorder="1" applyAlignment="1">
      <alignment horizontal="center" wrapText="1"/>
    </xf>
    <xf numFmtId="0" fontId="68" fillId="18" borderId="38" xfId="0" applyFont="1" applyFill="1" applyBorder="1" applyAlignment="1">
      <alignment horizontal="center" wrapText="1"/>
    </xf>
    <xf numFmtId="0" fontId="68" fillId="18" borderId="36" xfId="0" applyFont="1" applyFill="1" applyBorder="1" applyAlignment="1">
      <alignment horizontal="center" wrapText="1"/>
    </xf>
    <xf numFmtId="0" fontId="69" fillId="0" borderId="0" xfId="0" applyFont="1" applyAlignment="1">
      <alignment horizontal="left"/>
    </xf>
    <xf numFmtId="0" fontId="65" fillId="0" borderId="0" xfId="0" applyFont="1" applyAlignment="1">
      <alignment horizontal="left"/>
    </xf>
    <xf numFmtId="164" fontId="69" fillId="17" borderId="0" xfId="0" applyNumberFormat="1" applyFont="1" applyFill="1" applyAlignment="1">
      <alignment horizontal="left"/>
    </xf>
    <xf numFmtId="0" fontId="66" fillId="0" borderId="0" xfId="0" applyFont="1" applyAlignment="1">
      <alignment horizontal="left"/>
    </xf>
    <xf numFmtId="0" fontId="26" fillId="0" borderId="0" xfId="2" applyBorder="1" applyAlignment="1">
      <alignment horizontal="left"/>
    </xf>
    <xf numFmtId="0" fontId="30" fillId="0" borderId="0" xfId="0" applyFont="1" applyAlignment="1">
      <alignment vertical="top" wrapText="1"/>
    </xf>
    <xf numFmtId="0" fontId="27" fillId="0" borderId="0" xfId="4" applyAlignment="1">
      <alignment horizontal="left"/>
    </xf>
    <xf numFmtId="164" fontId="0" fillId="0" borderId="0" xfId="0" applyNumberFormat="1"/>
    <xf numFmtId="9" fontId="0" fillId="0" borderId="0" xfId="22" applyFont="1"/>
    <xf numFmtId="0" fontId="0" fillId="0" borderId="0" xfId="0" pivotButton="1"/>
    <xf numFmtId="164" fontId="0" fillId="0" borderId="30" xfId="0" applyNumberFormat="1" applyBorder="1"/>
    <xf numFmtId="0" fontId="35" fillId="21" borderId="43" xfId="0" applyFont="1" applyFill="1" applyBorder="1" applyAlignment="1">
      <alignment horizontal="left"/>
    </xf>
    <xf numFmtId="164" fontId="35" fillId="21" borderId="43" xfId="0" applyNumberFormat="1" applyFont="1" applyFill="1" applyBorder="1"/>
    <xf numFmtId="0" fontId="35" fillId="20" borderId="30" xfId="0" applyFont="1" applyFill="1" applyBorder="1" applyAlignment="1">
      <alignment horizontal="left"/>
    </xf>
    <xf numFmtId="0" fontId="67" fillId="0" borderId="0" xfId="0" applyFont="1" applyAlignment="1">
      <alignment vertical="top" wrapText="1"/>
    </xf>
    <xf numFmtId="0" fontId="71" fillId="0" borderId="0" xfId="0" applyFont="1" applyAlignment="1">
      <alignment vertical="center" wrapText="1"/>
    </xf>
    <xf numFmtId="0" fontId="0" fillId="0" borderId="0" xfId="0" applyAlignment="1">
      <alignment vertical="center" wrapText="1"/>
    </xf>
    <xf numFmtId="0" fontId="0" fillId="0" borderId="0" xfId="0" applyAlignment="1">
      <alignment horizontal="left"/>
    </xf>
    <xf numFmtId="0" fontId="35" fillId="20" borderId="44" xfId="0" applyFont="1" applyFill="1" applyBorder="1"/>
    <xf numFmtId="0" fontId="72" fillId="0" borderId="0" xfId="0" applyFont="1"/>
    <xf numFmtId="0" fontId="73" fillId="0" borderId="0" xfId="0" applyFont="1"/>
    <xf numFmtId="0" fontId="74" fillId="24" borderId="0" xfId="0" applyFont="1" applyFill="1" applyAlignment="1">
      <alignment horizontal="left"/>
    </xf>
    <xf numFmtId="0" fontId="75" fillId="24" borderId="0" xfId="0" applyFont="1" applyFill="1"/>
    <xf numFmtId="0" fontId="76" fillId="24" borderId="0" xfId="0" applyFont="1" applyFill="1" applyAlignment="1">
      <alignment horizontal="right" vertical="center" wrapText="1"/>
    </xf>
    <xf numFmtId="0" fontId="77" fillId="0" borderId="0" xfId="0" applyFont="1" applyAlignment="1">
      <alignment vertical="center"/>
    </xf>
    <xf numFmtId="0" fontId="78" fillId="0" borderId="0" xfId="0" applyFont="1"/>
    <xf numFmtId="0" fontId="78" fillId="23" borderId="46" xfId="0" applyFont="1" applyFill="1" applyBorder="1" applyAlignment="1">
      <alignment vertical="center"/>
    </xf>
    <xf numFmtId="0" fontId="78" fillId="23" borderId="47" xfId="0" applyFont="1" applyFill="1" applyBorder="1" applyAlignment="1">
      <alignment horizontal="left" vertical="center"/>
    </xf>
    <xf numFmtId="0" fontId="78" fillId="23" borderId="48" xfId="0" applyFont="1" applyFill="1" applyBorder="1" applyAlignment="1">
      <alignment horizontal="left" vertical="center"/>
    </xf>
    <xf numFmtId="0" fontId="79" fillId="0" borderId="49" xfId="0" applyFont="1" applyBorder="1" applyAlignment="1">
      <alignment vertical="center"/>
    </xf>
    <xf numFmtId="0" fontId="80" fillId="0" borderId="0" xfId="0" applyFont="1"/>
    <xf numFmtId="0" fontId="81" fillId="23" borderId="47" xfId="0" applyFont="1" applyFill="1" applyBorder="1" applyAlignment="1">
      <alignment horizontal="left" vertical="center"/>
    </xf>
    <xf numFmtId="0" fontId="81" fillId="23" borderId="52" xfId="0" applyFont="1" applyFill="1" applyBorder="1" applyAlignment="1">
      <alignment horizontal="left" vertical="center"/>
    </xf>
    <xf numFmtId="0" fontId="79" fillId="23" borderId="0" xfId="0" applyFont="1" applyFill="1" applyAlignment="1">
      <alignment vertical="center"/>
    </xf>
    <xf numFmtId="0" fontId="79" fillId="0" borderId="51" xfId="0" applyFont="1" applyBorder="1" applyAlignment="1">
      <alignment vertical="center"/>
    </xf>
    <xf numFmtId="0" fontId="81" fillId="23" borderId="47" xfId="0" applyFont="1" applyFill="1" applyBorder="1" applyAlignment="1">
      <alignment vertical="center"/>
    </xf>
    <xf numFmtId="0" fontId="81" fillId="23" borderId="0" xfId="0" applyFont="1" applyFill="1" applyAlignment="1">
      <alignment vertical="center"/>
    </xf>
    <xf numFmtId="0" fontId="79" fillId="0" borderId="53" xfId="0" applyFont="1" applyBorder="1" applyAlignment="1">
      <alignment vertical="center"/>
    </xf>
    <xf numFmtId="10" fontId="73" fillId="0" borderId="0" xfId="22" applyNumberFormat="1" applyFont="1"/>
    <xf numFmtId="0" fontId="81" fillId="23" borderId="0" xfId="0" applyFont="1" applyFill="1" applyBorder="1" applyAlignment="1">
      <alignment vertical="center"/>
    </xf>
    <xf numFmtId="0" fontId="79" fillId="23" borderId="54" xfId="0" applyFont="1" applyFill="1" applyBorder="1" applyAlignment="1">
      <alignment vertical="center"/>
    </xf>
    <xf numFmtId="0" fontId="75" fillId="24" borderId="45" xfId="0" applyFont="1" applyFill="1" applyBorder="1" applyAlignment="1">
      <alignment horizontal="right" vertical="center" wrapText="1"/>
    </xf>
    <xf numFmtId="164" fontId="81" fillId="13" borderId="3" xfId="5" applyNumberFormat="1" applyFont="1" applyBorder="1">
      <alignment vertical="center" wrapText="1"/>
      <protection locked="0" hidden="1"/>
    </xf>
    <xf numFmtId="164" fontId="81" fillId="23" borderId="47" xfId="0" applyNumberFormat="1" applyFont="1" applyFill="1" applyBorder="1" applyAlignment="1">
      <alignment horizontal="right" vertical="center"/>
    </xf>
    <xf numFmtId="164" fontId="81" fillId="23" borderId="52" xfId="0" applyNumberFormat="1" applyFont="1" applyFill="1" applyBorder="1" applyAlignment="1">
      <alignment horizontal="right" vertical="center"/>
    </xf>
    <xf numFmtId="164" fontId="80" fillId="0" borderId="50" xfId="0" applyNumberFormat="1" applyFont="1" applyBorder="1" applyAlignment="1">
      <alignment horizontal="right" vertical="center"/>
    </xf>
    <xf numFmtId="164" fontId="80" fillId="0" borderId="0" xfId="0" applyNumberFormat="1" applyFont="1"/>
    <xf numFmtId="164" fontId="81" fillId="0" borderId="0" xfId="0" applyNumberFormat="1" applyFont="1" applyAlignment="1">
      <alignment vertical="center"/>
    </xf>
    <xf numFmtId="164" fontId="81" fillId="23" borderId="0" xfId="0" applyNumberFormat="1" applyFont="1" applyFill="1" applyAlignment="1">
      <alignment horizontal="right" vertical="center"/>
    </xf>
    <xf numFmtId="164" fontId="79" fillId="0" borderId="51" xfId="0" applyNumberFormat="1" applyFont="1" applyBorder="1" applyAlignment="1">
      <alignment vertical="center"/>
    </xf>
    <xf numFmtId="164" fontId="81" fillId="23" borderId="0" xfId="0" applyNumberFormat="1" applyFont="1" applyFill="1" applyBorder="1" applyAlignment="1">
      <alignment horizontal="right" vertical="center"/>
    </xf>
    <xf numFmtId="164" fontId="81" fillId="23" borderId="54" xfId="0" applyNumberFormat="1" applyFont="1" applyFill="1" applyBorder="1" applyAlignment="1">
      <alignment horizontal="right" vertical="center"/>
    </xf>
    <xf numFmtId="0" fontId="83" fillId="0" borderId="17" xfId="0" applyFont="1" applyBorder="1" applyAlignment="1">
      <alignment vertical="center" wrapText="1"/>
    </xf>
    <xf numFmtId="0" fontId="0" fillId="22" borderId="0" xfId="0" applyFill="1" applyBorder="1"/>
    <xf numFmtId="0" fontId="0" fillId="22" borderId="30" xfId="0" applyFill="1" applyBorder="1"/>
    <xf numFmtId="0" fontId="0" fillId="22" borderId="0" xfId="0" applyFill="1"/>
    <xf numFmtId="0" fontId="25" fillId="0" borderId="30" xfId="12" applyBorder="1"/>
    <xf numFmtId="0" fontId="0" fillId="0" borderId="30" xfId="0" applyBorder="1" applyAlignment="1">
      <alignment vertical="center" wrapText="1"/>
    </xf>
    <xf numFmtId="0" fontId="9" fillId="9" borderId="3" xfId="7" quotePrefix="1" applyFont="1">
      <alignment vertical="center" wrapText="1"/>
    </xf>
    <xf numFmtId="0" fontId="35" fillId="10" borderId="3" xfId="9" applyFont="1">
      <alignment horizontal="left" vertical="center" wrapText="1"/>
      <protection hidden="1"/>
    </xf>
    <xf numFmtId="0" fontId="45" fillId="0" borderId="0" xfId="8" applyAlignment="1">
      <alignment vertical="top"/>
    </xf>
    <xf numFmtId="0" fontId="0" fillId="16" borderId="0" xfId="0" applyFill="1"/>
    <xf numFmtId="22" fontId="0" fillId="9" borderId="55" xfId="7" applyNumberFormat="1" applyFont="1" applyBorder="1">
      <alignment vertical="center" wrapText="1"/>
    </xf>
    <xf numFmtId="0" fontId="21" fillId="25" borderId="56" xfId="23" applyFont="1" applyBorder="1" applyAlignment="1">
      <alignment horizontal="center" vertical="center" wrapText="1"/>
    </xf>
    <xf numFmtId="0" fontId="84" fillId="9" borderId="55" xfId="7" applyFont="1" applyBorder="1" applyAlignment="1">
      <alignment horizontal="center" vertical="center" wrapText="1"/>
    </xf>
    <xf numFmtId="0" fontId="85" fillId="9" borderId="3" xfId="7" applyFont="1">
      <alignment vertical="center" wrapText="1"/>
    </xf>
    <xf numFmtId="170" fontId="0" fillId="9" borderId="3" xfId="7" applyNumberFormat="1" applyFont="1">
      <alignment vertical="center" wrapText="1"/>
    </xf>
    <xf numFmtId="0" fontId="10" fillId="2" borderId="2" xfId="6" applyAlignment="1">
      <alignment horizontal="center"/>
    </xf>
    <xf numFmtId="22" fontId="10" fillId="2" borderId="2" xfId="6" applyNumberFormat="1" applyAlignment="1">
      <alignment horizontal="center"/>
    </xf>
    <xf numFmtId="0" fontId="35" fillId="0" borderId="0" xfId="0" applyFont="1"/>
    <xf numFmtId="0" fontId="86" fillId="0" borderId="17" xfId="0" applyFont="1" applyBorder="1" applyAlignment="1">
      <alignment vertical="center" wrapText="1"/>
    </xf>
    <xf numFmtId="9" fontId="0" fillId="13" borderId="9" xfId="22" applyFont="1" applyFill="1" applyBorder="1" applyAlignment="1" applyProtection="1">
      <alignment vertical="center" wrapText="1"/>
      <protection locked="0" hidden="1"/>
    </xf>
    <xf numFmtId="0" fontId="0" fillId="0" borderId="0" xfId="0" applyAlignment="1"/>
    <xf numFmtId="172" fontId="0" fillId="0" borderId="0" xfId="0" applyNumberFormat="1"/>
    <xf numFmtId="14" fontId="0" fillId="14" borderId="3" xfId="0" applyNumberFormat="1" applyFill="1" applyBorder="1" applyAlignment="1" applyProtection="1">
      <alignment vertical="center" wrapText="1"/>
      <protection locked="0"/>
    </xf>
    <xf numFmtId="171" fontId="0" fillId="0" borderId="0" xfId="0" applyNumberFormat="1"/>
    <xf numFmtId="3" fontId="0" fillId="10" borderId="3" xfId="9" applyNumberFormat="1" applyFont="1">
      <alignment horizontal="left" vertical="center" wrapText="1"/>
      <protection hidden="1"/>
    </xf>
    <xf numFmtId="3" fontId="13" fillId="26" borderId="3" xfId="24" applyNumberFormat="1">
      <alignment vertical="center" wrapText="1"/>
    </xf>
    <xf numFmtId="3" fontId="45" fillId="0" borderId="0" xfId="8" applyNumberFormat="1" applyAlignment="1">
      <alignment vertical="center"/>
    </xf>
    <xf numFmtId="3" fontId="27" fillId="0" borderId="0" xfId="4" applyNumberFormat="1"/>
    <xf numFmtId="4" fontId="0" fillId="0" borderId="0" xfId="0" applyNumberFormat="1"/>
    <xf numFmtId="0" fontId="13" fillId="0" borderId="0" xfId="0" applyFont="1" applyAlignment="1">
      <alignment vertical="center"/>
    </xf>
    <xf numFmtId="4" fontId="13" fillId="26" borderId="3" xfId="24" applyNumberFormat="1">
      <alignment vertical="center" wrapText="1"/>
    </xf>
    <xf numFmtId="4" fontId="0" fillId="9" borderId="3" xfId="7" applyNumberFormat="1" applyFont="1">
      <alignment vertical="center" wrapText="1"/>
    </xf>
    <xf numFmtId="2" fontId="13" fillId="26" borderId="3" xfId="24" applyNumberFormat="1">
      <alignment vertical="center" wrapText="1"/>
    </xf>
    <xf numFmtId="3" fontId="13" fillId="13" borderId="9" xfId="5" applyNumberFormat="1">
      <alignment vertical="center" wrapText="1"/>
      <protection locked="0" hidden="1"/>
    </xf>
    <xf numFmtId="2" fontId="0" fillId="9" borderId="3" xfId="1" applyNumberFormat="1" applyFont="1" applyFill="1" applyBorder="1" applyAlignment="1">
      <alignment vertical="center" wrapText="1"/>
    </xf>
    <xf numFmtId="2" fontId="0" fillId="0" borderId="0" xfId="0" applyNumberFormat="1"/>
    <xf numFmtId="2" fontId="0" fillId="10" borderId="10" xfId="1" applyNumberFormat="1" applyFont="1" applyFill="1" applyBorder="1" applyAlignment="1">
      <alignment vertical="center" wrapText="1"/>
    </xf>
    <xf numFmtId="2" fontId="0" fillId="13" borderId="9" xfId="5" applyNumberFormat="1" applyFont="1">
      <alignment vertical="center" wrapText="1"/>
      <protection locked="0" hidden="1"/>
    </xf>
    <xf numFmtId="2" fontId="0" fillId="9" borderId="3" xfId="7" applyNumberFormat="1" applyFont="1">
      <alignment vertical="center" wrapText="1"/>
    </xf>
    <xf numFmtId="2" fontId="0" fillId="10" borderId="10" xfId="11" applyNumberFormat="1" applyFont="1">
      <alignment vertical="center" wrapText="1"/>
    </xf>
    <xf numFmtId="0" fontId="15" fillId="0" borderId="0" xfId="15" applyBorder="1"/>
    <xf numFmtId="0" fontId="12" fillId="0" borderId="0" xfId="0" applyFont="1" applyAlignment="1">
      <alignment horizontal="left" vertical="center" wrapText="1"/>
    </xf>
    <xf numFmtId="0" fontId="70" fillId="0" borderId="0" xfId="0" applyFont="1" applyAlignment="1">
      <alignment vertical="top" wrapText="1"/>
    </xf>
    <xf numFmtId="0" fontId="69" fillId="19" borderId="58" xfId="0" applyFont="1" applyFill="1" applyBorder="1" applyAlignment="1">
      <alignment horizontal="left"/>
    </xf>
    <xf numFmtId="164" fontId="69" fillId="19" borderId="58" xfId="0" applyNumberFormat="1" applyFont="1" applyFill="1" applyBorder="1" applyAlignment="1">
      <alignment horizontal="right"/>
    </xf>
    <xf numFmtId="173" fontId="92" fillId="19" borderId="59" xfId="22" applyNumberFormat="1" applyFont="1" applyFill="1" applyBorder="1" applyAlignment="1">
      <alignment horizontal="center"/>
    </xf>
    <xf numFmtId="173" fontId="94" fillId="19" borderId="58" xfId="22" applyNumberFormat="1" applyFont="1" applyFill="1" applyBorder="1" applyAlignment="1">
      <alignment horizontal="center"/>
    </xf>
    <xf numFmtId="49" fontId="69" fillId="0" borderId="0" xfId="0" applyNumberFormat="1" applyFont="1" applyAlignment="1">
      <alignment horizontal="left"/>
    </xf>
    <xf numFmtId="0" fontId="95" fillId="0" borderId="0" xfId="0" applyFont="1" applyAlignment="1"/>
    <xf numFmtId="0" fontId="25" fillId="0" borderId="0" xfId="12" applyAlignment="1"/>
    <xf numFmtId="0" fontId="0" fillId="0" borderId="0" xfId="0" pivotButton="1" applyAlignment="1">
      <alignment wrapText="1"/>
    </xf>
    <xf numFmtId="0" fontId="49" fillId="0" borderId="0" xfId="0" applyFont="1" applyAlignment="1">
      <alignment horizontal="left" vertical="center" wrapText="1"/>
    </xf>
    <xf numFmtId="49" fontId="69" fillId="0" borderId="0" xfId="0" quotePrefix="1" applyNumberFormat="1" applyFont="1" applyAlignment="1">
      <alignment horizontal="left"/>
    </xf>
    <xf numFmtId="49" fontId="52" fillId="0" borderId="0" xfId="0" applyNumberFormat="1" applyFont="1" applyAlignment="1">
      <alignment horizontal="left"/>
    </xf>
    <xf numFmtId="0" fontId="25" fillId="0" borderId="0" xfId="12" applyAlignment="1">
      <alignment horizontal="left" indent="1"/>
    </xf>
    <xf numFmtId="0" fontId="26" fillId="0" borderId="0" xfId="2" applyAlignment="1">
      <alignment horizontal="left"/>
    </xf>
    <xf numFmtId="0" fontId="12" fillId="0" borderId="0" xfId="0" applyFont="1" applyAlignment="1">
      <alignment horizontal="left"/>
    </xf>
    <xf numFmtId="0" fontId="12" fillId="0" borderId="0" xfId="0" applyFont="1" applyAlignment="1"/>
    <xf numFmtId="0" fontId="12" fillId="13" borderId="9" xfId="5" applyFont="1">
      <alignment vertical="center" wrapText="1"/>
      <protection locked="0" hidden="1"/>
    </xf>
    <xf numFmtId="0" fontId="12" fillId="19" borderId="37" xfId="0" applyFont="1" applyFill="1" applyBorder="1" applyAlignment="1">
      <alignment horizontal="left"/>
    </xf>
    <xf numFmtId="164" fontId="12" fillId="19" borderId="41" xfId="0" applyNumberFormat="1" applyFont="1" applyFill="1" applyBorder="1" applyAlignment="1">
      <alignment horizontal="left"/>
    </xf>
    <xf numFmtId="164" fontId="12" fillId="19" borderId="40" xfId="0" applyNumberFormat="1" applyFont="1" applyFill="1" applyBorder="1" applyAlignment="1">
      <alignment horizontal="left"/>
    </xf>
    <xf numFmtId="0" fontId="12" fillId="19" borderId="39" xfId="0" applyFont="1" applyFill="1" applyBorder="1" applyAlignment="1">
      <alignment horizontal="left"/>
    </xf>
    <xf numFmtId="164" fontId="12" fillId="19" borderId="42" xfId="0" applyNumberFormat="1" applyFont="1" applyFill="1" applyBorder="1" applyAlignment="1">
      <alignment horizontal="left"/>
    </xf>
    <xf numFmtId="0" fontId="8" fillId="0" borderId="0" xfId="0" applyFont="1" applyAlignment="1">
      <alignment horizontal="left" indent="1"/>
    </xf>
    <xf numFmtId="0" fontId="8" fillId="0" borderId="0" xfId="0" applyFont="1"/>
    <xf numFmtId="0" fontId="8" fillId="16" borderId="0" xfId="0" applyFont="1" applyFill="1" applyAlignment="1">
      <alignment horizontal="left" vertical="top" wrapText="1" indent="1"/>
    </xf>
    <xf numFmtId="0" fontId="8" fillId="0" borderId="0" xfId="0" applyFont="1" applyAlignment="1">
      <alignment vertical="center"/>
    </xf>
    <xf numFmtId="0" fontId="12" fillId="0" borderId="0" xfId="0" applyFont="1" applyAlignment="1">
      <alignment horizontal="left" wrapText="1"/>
    </xf>
    <xf numFmtId="0" fontId="7" fillId="0" borderId="0" xfId="26"/>
    <xf numFmtId="0" fontId="99" fillId="0" borderId="0" xfId="0" applyFont="1"/>
    <xf numFmtId="0" fontId="25" fillId="0" borderId="0" xfId="12" applyBorder="1"/>
    <xf numFmtId="0" fontId="0" fillId="0" borderId="60" xfId="0" applyBorder="1"/>
    <xf numFmtId="0" fontId="6" fillId="0" borderId="0" xfId="0" applyFont="1" applyAlignment="1">
      <alignment horizontal="left" indent="1"/>
    </xf>
    <xf numFmtId="0" fontId="6" fillId="0" borderId="0" xfId="0" applyFont="1" applyAlignment="1">
      <alignment horizontal="left"/>
    </xf>
    <xf numFmtId="0" fontId="100" fillId="0" borderId="0" xfId="0" applyFont="1" applyAlignment="1">
      <alignment horizontal="left"/>
    </xf>
    <xf numFmtId="0" fontId="101" fillId="0" borderId="0" xfId="0" applyFont="1" applyAlignment="1">
      <alignment horizontal="left"/>
    </xf>
    <xf numFmtId="0" fontId="102" fillId="0" borderId="0" xfId="0" applyFont="1" applyAlignment="1">
      <alignment horizontal="left"/>
    </xf>
    <xf numFmtId="0" fontId="35" fillId="0" borderId="60" xfId="0" applyFont="1" applyBorder="1"/>
    <xf numFmtId="0" fontId="0" fillId="0" borderId="0" xfId="0" quotePrefix="1" applyAlignment="1">
      <alignment horizontal="center" vertical="center" wrapText="1"/>
    </xf>
    <xf numFmtId="0" fontId="12" fillId="0" borderId="0" xfId="0" applyFont="1" applyAlignment="1">
      <alignment horizontal="left" vertical="center"/>
    </xf>
    <xf numFmtId="0" fontId="49" fillId="0" borderId="0" xfId="0" applyFont="1" applyAlignment="1">
      <alignment horizontal="left" vertical="center"/>
    </xf>
    <xf numFmtId="0" fontId="95" fillId="0" borderId="0" xfId="0" applyFont="1" applyAlignment="1">
      <alignment horizontal="left"/>
    </xf>
    <xf numFmtId="0" fontId="95" fillId="0" borderId="61" xfId="0" applyFont="1" applyBorder="1" applyAlignment="1">
      <alignment horizontal="left"/>
    </xf>
    <xf numFmtId="164" fontId="95" fillId="0" borderId="61" xfId="0" applyNumberFormat="1" applyFont="1" applyBorder="1" applyAlignment="1">
      <alignment horizontal="left"/>
    </xf>
    <xf numFmtId="0" fontId="70" fillId="0" borderId="0" xfId="0" applyFont="1" applyAlignment="1">
      <alignment horizontal="right"/>
    </xf>
    <xf numFmtId="0" fontId="70" fillId="13" borderId="9" xfId="5" applyFont="1">
      <alignment vertical="center" wrapText="1"/>
      <protection locked="0" hidden="1"/>
    </xf>
    <xf numFmtId="0" fontId="90" fillId="19" borderId="57" xfId="0" applyFont="1" applyFill="1" applyBorder="1" applyAlignment="1">
      <alignment horizontal="left"/>
    </xf>
    <xf numFmtId="0" fontId="89" fillId="16" borderId="0" xfId="0" applyFont="1" applyFill="1" applyBorder="1" applyAlignment="1">
      <alignment horizontal="left" indent="2"/>
    </xf>
    <xf numFmtId="164" fontId="89" fillId="16" borderId="35" xfId="0" applyNumberFormat="1" applyFont="1" applyFill="1" applyBorder="1" applyAlignment="1">
      <alignment horizontal="right"/>
    </xf>
    <xf numFmtId="173" fontId="93" fillId="16" borderId="35" xfId="22" applyNumberFormat="1" applyFont="1" applyFill="1" applyBorder="1" applyAlignment="1">
      <alignment horizontal="center"/>
    </xf>
    <xf numFmtId="0" fontId="90" fillId="19" borderId="59" xfId="0" applyFont="1" applyFill="1" applyBorder="1" applyAlignment="1">
      <alignment horizontal="left"/>
    </xf>
    <xf numFmtId="164" fontId="90" fillId="19" borderId="59" xfId="0" applyNumberFormat="1" applyFont="1" applyFill="1" applyBorder="1" applyAlignment="1">
      <alignment horizontal="right"/>
    </xf>
    <xf numFmtId="164" fontId="89" fillId="16" borderId="0" xfId="0" applyNumberFormat="1" applyFont="1" applyFill="1" applyBorder="1" applyAlignment="1">
      <alignment horizontal="right"/>
    </xf>
    <xf numFmtId="173" fontId="93" fillId="16" borderId="0" xfId="22" applyNumberFormat="1" applyFont="1" applyFill="1" applyBorder="1" applyAlignment="1">
      <alignment horizontal="center"/>
    </xf>
    <xf numFmtId="0" fontId="89" fillId="16" borderId="35" xfId="0" applyFont="1" applyFill="1" applyBorder="1" applyAlignment="1">
      <alignment horizontal="left" indent="2"/>
    </xf>
    <xf numFmtId="164" fontId="90" fillId="19" borderId="57" xfId="0" applyNumberFormat="1" applyFont="1" applyFill="1" applyBorder="1" applyAlignment="1">
      <alignment horizontal="right"/>
    </xf>
    <xf numFmtId="173" fontId="92" fillId="19" borderId="57" xfId="22" applyNumberFormat="1" applyFont="1" applyFill="1" applyBorder="1" applyAlignment="1">
      <alignment horizontal="center"/>
    </xf>
    <xf numFmtId="0" fontId="68" fillId="18" borderId="62" xfId="0" applyFont="1" applyFill="1" applyBorder="1" applyAlignment="1">
      <alignment horizontal="center" wrapText="1"/>
    </xf>
    <xf numFmtId="0" fontId="91" fillId="18" borderId="62" xfId="0" applyFont="1" applyFill="1" applyBorder="1" applyAlignment="1">
      <alignment horizontal="center" wrapText="1"/>
    </xf>
    <xf numFmtId="0" fontId="12" fillId="16" borderId="0" xfId="0" applyFont="1" applyFill="1" applyAlignment="1">
      <alignment horizontal="left"/>
    </xf>
    <xf numFmtId="0" fontId="103" fillId="0" borderId="0" xfId="0" applyFont="1" applyAlignment="1">
      <alignment vertical="center" wrapText="1"/>
    </xf>
    <xf numFmtId="1" fontId="0" fillId="13" borderId="9" xfId="5" applyNumberFormat="1" applyFont="1">
      <alignment vertical="center" wrapText="1"/>
      <protection locked="0" hidden="1"/>
    </xf>
    <xf numFmtId="0" fontId="104" fillId="0" borderId="17" xfId="0" applyFont="1" applyBorder="1" applyAlignment="1">
      <alignment horizontal="left" vertical="center" wrapText="1" indent="1"/>
    </xf>
    <xf numFmtId="0" fontId="5" fillId="27" borderId="61" xfId="27" applyBorder="1"/>
    <xf numFmtId="0" fontId="13" fillId="26" borderId="3" xfId="24">
      <alignment vertical="center" wrapText="1"/>
    </xf>
    <xf numFmtId="0" fontId="14" fillId="9" borderId="3" xfId="7" applyAlignment="1">
      <alignment horizontal="center"/>
    </xf>
    <xf numFmtId="0" fontId="88" fillId="13" borderId="66" xfId="5" applyFont="1" applyBorder="1" applyAlignment="1" applyProtection="1"/>
    <xf numFmtId="0" fontId="105" fillId="0" borderId="0" xfId="3" applyFont="1" applyBorder="1"/>
    <xf numFmtId="0" fontId="0" fillId="0" borderId="0" xfId="0" applyAlignment="1">
      <alignment horizontal="right" vertical="center"/>
    </xf>
    <xf numFmtId="0" fontId="35" fillId="0" borderId="0" xfId="0" applyFont="1" applyAlignment="1">
      <alignment horizontal="right" vertical="center"/>
    </xf>
    <xf numFmtId="0" fontId="12" fillId="13" borderId="14" xfId="5" applyFont="1" applyBorder="1" applyAlignment="1">
      <alignment horizontal="center" vertical="center" wrapText="1"/>
      <protection locked="0" hidden="1"/>
    </xf>
    <xf numFmtId="0" fontId="0" fillId="0" borderId="0" xfId="0" applyBorder="1" applyAlignment="1">
      <alignment horizontal="center"/>
    </xf>
    <xf numFmtId="0" fontId="54" fillId="0" borderId="18" xfId="0" applyFont="1" applyBorder="1" applyAlignment="1">
      <alignment horizontal="center" vertical="center"/>
    </xf>
    <xf numFmtId="0" fontId="107" fillId="0" borderId="17" xfId="0" applyFont="1" applyBorder="1" applyAlignment="1">
      <alignment vertical="center" wrapText="1"/>
    </xf>
    <xf numFmtId="0" fontId="35" fillId="0" borderId="18" xfId="0" applyFont="1" applyBorder="1" applyAlignment="1">
      <alignment horizontal="left" vertical="center" wrapText="1"/>
    </xf>
    <xf numFmtId="0" fontId="25" fillId="28" borderId="18" xfId="12" applyFill="1" applyBorder="1" applyAlignment="1">
      <alignment horizontal="left" vertical="center" wrapText="1"/>
    </xf>
    <xf numFmtId="0" fontId="25" fillId="9" borderId="18" xfId="12" applyFill="1" applyBorder="1" applyAlignment="1">
      <alignment horizontal="left" vertical="center" wrapText="1"/>
    </xf>
    <xf numFmtId="0" fontId="25" fillId="14" borderId="17" xfId="12" applyFill="1" applyBorder="1" applyAlignment="1">
      <alignment vertical="center" wrapText="1"/>
    </xf>
    <xf numFmtId="0" fontId="25" fillId="29" borderId="18" xfId="12" applyFill="1" applyBorder="1" applyAlignment="1">
      <alignment horizontal="left" vertical="center" wrapText="1"/>
    </xf>
    <xf numFmtId="174" fontId="0" fillId="0" borderId="0" xfId="14" applyNumberFormat="1" applyFont="1"/>
    <xf numFmtId="170" fontId="0" fillId="0" borderId="0" xfId="14" applyNumberFormat="1" applyFont="1"/>
    <xf numFmtId="0" fontId="35" fillId="0" borderId="0" xfId="0" applyFont="1" applyAlignment="1">
      <alignment horizontal="left" indent="5"/>
    </xf>
    <xf numFmtId="164" fontId="100" fillId="16" borderId="35" xfId="0" applyNumberFormat="1" applyFont="1" applyFill="1" applyBorder="1" applyAlignment="1">
      <alignment horizontal="right"/>
    </xf>
    <xf numFmtId="164" fontId="108" fillId="16" borderId="35" xfId="0" applyNumberFormat="1" applyFont="1" applyFill="1" applyBorder="1" applyAlignment="1">
      <alignment horizontal="right"/>
    </xf>
    <xf numFmtId="0" fontId="0" fillId="10" borderId="3" xfId="9" applyFont="1" applyAlignment="1">
      <alignment horizontal="left" vertical="center" wrapText="1" indent="1"/>
      <protection hidden="1"/>
    </xf>
    <xf numFmtId="0" fontId="110" fillId="0" borderId="0" xfId="0" applyFont="1"/>
    <xf numFmtId="0" fontId="0" fillId="0" borderId="0" xfId="0" applyAlignment="1">
      <alignment horizontal="left" indent="2"/>
    </xf>
    <xf numFmtId="0" fontId="111" fillId="0" borderId="0" xfId="0" applyFont="1" applyAlignment="1">
      <alignment horizontal="left" vertical="center" readingOrder="1"/>
    </xf>
    <xf numFmtId="0" fontId="13" fillId="26" borderId="3" xfId="24" applyAlignment="1">
      <alignment vertical="center"/>
    </xf>
    <xf numFmtId="0" fontId="110" fillId="0" borderId="0" xfId="0" applyFont="1" applyAlignment="1"/>
    <xf numFmtId="0" fontId="116" fillId="0" borderId="0" xfId="3" applyFont="1" applyBorder="1"/>
    <xf numFmtId="0" fontId="12" fillId="0" borderId="0" xfId="0" applyFont="1" applyAlignment="1">
      <alignment horizontal="left" vertical="center" wrapText="1"/>
    </xf>
    <xf numFmtId="0" fontId="12" fillId="0" borderId="0" xfId="0" applyFont="1" applyAlignment="1">
      <alignment horizontal="left" wrapText="1"/>
    </xf>
    <xf numFmtId="0" fontId="12" fillId="0" borderId="0" xfId="0" applyFont="1" applyAlignment="1">
      <alignment vertical="center" wrapText="1"/>
    </xf>
    <xf numFmtId="0" fontId="12" fillId="0" borderId="0" xfId="0" applyFont="1" applyAlignment="1">
      <alignment horizontal="left"/>
    </xf>
    <xf numFmtId="0" fontId="69" fillId="0" borderId="0" xfId="0" applyFont="1" applyAlignment="1">
      <alignment horizontal="left" vertical="center" wrapText="1"/>
    </xf>
    <xf numFmtId="0" fontId="69" fillId="0" borderId="0" xfId="0" applyFont="1" applyAlignment="1">
      <alignment horizontal="left"/>
    </xf>
    <xf numFmtId="0" fontId="49" fillId="0" borderId="0" xfId="0" applyFont="1" applyAlignment="1">
      <alignment horizontal="left" vertical="center" wrapText="1"/>
    </xf>
    <xf numFmtId="0" fontId="12" fillId="13" borderId="9" xfId="5" applyFont="1">
      <alignment vertical="center" wrapText="1"/>
      <protection locked="0" hidden="1"/>
    </xf>
    <xf numFmtId="0" fontId="68" fillId="18" borderId="62" xfId="0" applyFont="1" applyFill="1" applyBorder="1" applyAlignment="1">
      <alignment horizontal="center" wrapText="1"/>
    </xf>
    <xf numFmtId="0" fontId="102" fillId="0" borderId="0" xfId="0" applyFont="1" applyAlignment="1">
      <alignment horizontal="left" wrapText="1"/>
    </xf>
    <xf numFmtId="0" fontId="4" fillId="0" borderId="0" xfId="0" applyFont="1" applyFill="1" applyBorder="1" applyAlignment="1">
      <alignment horizontal="left" vertical="center" wrapText="1" indent="2"/>
    </xf>
    <xf numFmtId="0" fontId="4" fillId="0" borderId="0" xfId="0" applyFont="1" applyFill="1" applyBorder="1" applyAlignment="1">
      <alignment vertical="center" wrapText="1"/>
    </xf>
    <xf numFmtId="0" fontId="8" fillId="0" borderId="0" xfId="0" applyFont="1" applyFill="1" applyBorder="1" applyAlignment="1">
      <alignment vertical="center" wrapText="1"/>
    </xf>
    <xf numFmtId="0" fontId="6" fillId="0" borderId="0" xfId="0" applyFont="1" applyFill="1" applyBorder="1" applyAlignment="1">
      <alignment vertical="center" wrapText="1"/>
    </xf>
    <xf numFmtId="0" fontId="0" fillId="0" borderId="0" xfId="0" applyAlignment="1">
      <alignment vertical="center" wrapText="1"/>
    </xf>
    <xf numFmtId="0" fontId="0" fillId="0" borderId="0" xfId="0" applyAlignment="1">
      <alignment horizontal="left" vertical="center" wrapText="1" indent="2"/>
    </xf>
    <xf numFmtId="0" fontId="0" fillId="0" borderId="63" xfId="0"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36" fillId="0" borderId="23" xfId="0" applyFont="1" applyBorder="1" applyAlignment="1">
      <alignment horizontal="center"/>
    </xf>
    <xf numFmtId="0" fontId="55" fillId="0" borderId="24"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26"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8" xfId="0" applyFont="1" applyBorder="1" applyAlignment="1">
      <alignment horizontal="center" vertical="center" wrapText="1"/>
    </xf>
    <xf numFmtId="0" fontId="55" fillId="0" borderId="29"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18" xfId="0" applyFont="1" applyBorder="1" applyAlignment="1">
      <alignment horizontal="center" vertical="center" wrapText="1"/>
    </xf>
    <xf numFmtId="0" fontId="0" fillId="0" borderId="0" xfId="0" applyAlignment="1">
      <alignment wrapText="1"/>
    </xf>
    <xf numFmtId="0" fontId="0" fillId="13" borderId="9" xfId="5" applyFont="1">
      <alignment vertical="center" wrapText="1"/>
      <protection locked="0" hidden="1"/>
    </xf>
    <xf numFmtId="164" fontId="0" fillId="13" borderId="9" xfId="5" applyNumberFormat="1" applyFont="1">
      <alignment vertical="center" wrapText="1"/>
      <protection locked="0" hidden="1"/>
    </xf>
    <xf numFmtId="0" fontId="45" fillId="0" borderId="0" xfId="8">
      <alignment vertical="center" wrapText="1"/>
    </xf>
    <xf numFmtId="0" fontId="43" fillId="0" borderId="0" xfId="8" applyFont="1">
      <alignment vertical="center" wrapText="1"/>
    </xf>
    <xf numFmtId="0" fontId="0" fillId="0" borderId="0" xfId="0" applyAlignment="1">
      <alignment vertical="center"/>
    </xf>
    <xf numFmtId="0" fontId="63" fillId="0" borderId="0" xfId="0" applyFont="1" applyAlignment="1">
      <alignment vertical="center" wrapText="1"/>
    </xf>
    <xf numFmtId="0" fontId="0" fillId="0" borderId="0" xfId="0" applyAlignment="1">
      <alignment vertical="top" wrapText="1"/>
    </xf>
    <xf numFmtId="0" fontId="41" fillId="0" borderId="0" xfId="12" applyFont="1" applyAlignment="1">
      <alignment vertical="center" wrapText="1"/>
    </xf>
    <xf numFmtId="0" fontId="45" fillId="0" borderId="0" xfId="8" applyAlignment="1">
      <alignment vertical="top" wrapText="1"/>
    </xf>
    <xf numFmtId="0" fontId="0" fillId="9" borderId="4" xfId="7" applyFont="1" applyBorder="1">
      <alignment vertical="center" wrapText="1"/>
    </xf>
    <xf numFmtId="0" fontId="0" fillId="9" borderId="13" xfId="7" applyFont="1" applyBorder="1">
      <alignment vertical="center" wrapText="1"/>
    </xf>
    <xf numFmtId="0" fontId="0" fillId="9" borderId="8" xfId="7" applyFont="1" applyBorder="1">
      <alignment vertical="center" wrapText="1"/>
    </xf>
    <xf numFmtId="0" fontId="43" fillId="0" borderId="0" xfId="8" applyFont="1" applyAlignment="1">
      <alignment horizontal="left" vertical="center" wrapText="1" indent="1"/>
    </xf>
    <xf numFmtId="0" fontId="39" fillId="12" borderId="19" xfId="10" applyFont="1" applyBorder="1">
      <alignment horizontal="center" wrapText="1"/>
    </xf>
    <xf numFmtId="0" fontId="39" fillId="12" borderId="20" xfId="10" applyFont="1" applyBorder="1">
      <alignment horizontal="center" wrapText="1"/>
    </xf>
    <xf numFmtId="0" fontId="39" fillId="12" borderId="21" xfId="10" applyFont="1" applyBorder="1">
      <alignment horizontal="center" wrapText="1"/>
    </xf>
    <xf numFmtId="0" fontId="0" fillId="0" borderId="0" xfId="0" applyAlignment="1">
      <alignment horizontal="center"/>
    </xf>
    <xf numFmtId="0" fontId="35" fillId="22" borderId="0" xfId="0" applyFont="1" applyFill="1" applyBorder="1" applyAlignment="1"/>
    <xf numFmtId="0" fontId="75" fillId="24" borderId="0" xfId="0" applyFont="1" applyFill="1" applyAlignment="1">
      <alignment horizontal="center" vertical="center"/>
    </xf>
    <xf numFmtId="0" fontId="27" fillId="22" borderId="0" xfId="4" applyFill="1" applyAlignment="1"/>
    <xf numFmtId="0" fontId="21" fillId="12" borderId="9" xfId="10">
      <alignment horizontal="center" wrapText="1"/>
    </xf>
    <xf numFmtId="0" fontId="0" fillId="9" borderId="3" xfId="7" applyFont="1">
      <alignment vertical="center" wrapText="1"/>
    </xf>
    <xf numFmtId="0" fontId="2"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vertical="center" wrapText="1"/>
    </xf>
    <xf numFmtId="0" fontId="8" fillId="0" borderId="0" xfId="0" applyFont="1" applyAlignment="1">
      <alignment vertical="center" wrapText="1"/>
    </xf>
    <xf numFmtId="0" fontId="6" fillId="0" borderId="0" xfId="0" quotePrefix="1" applyFont="1" applyAlignment="1">
      <alignment horizontal="left" vertical="center" wrapText="1" indent="1"/>
    </xf>
    <xf numFmtId="0" fontId="8" fillId="0" borderId="0" xfId="0" quotePrefix="1" applyFont="1" applyAlignment="1">
      <alignment horizontal="left" vertical="center" wrapText="1" indent="1"/>
    </xf>
    <xf numFmtId="0" fontId="6" fillId="0" borderId="0" xfId="0" applyFont="1" applyAlignment="1">
      <alignment horizontal="left" vertical="center" wrapText="1" indent="1"/>
    </xf>
    <xf numFmtId="0" fontId="7" fillId="0" borderId="0" xfId="0" applyFont="1" applyAlignment="1">
      <alignment horizontal="left" vertical="center" wrapText="1" indent="1"/>
    </xf>
    <xf numFmtId="0" fontId="6" fillId="0" borderId="0" xfId="0" applyFont="1" applyAlignment="1">
      <alignment horizontal="left" vertical="center" wrapText="1"/>
    </xf>
    <xf numFmtId="0" fontId="7" fillId="0" borderId="0" xfId="0" applyFont="1" applyAlignment="1">
      <alignment horizontal="left" vertical="center" wrapText="1"/>
    </xf>
    <xf numFmtId="0" fontId="38" fillId="0" borderId="0" xfId="8" applyFont="1">
      <alignment vertical="center" wrapText="1"/>
    </xf>
    <xf numFmtId="0" fontId="71" fillId="0" borderId="0" xfId="0" applyFont="1" applyAlignment="1">
      <alignment vertical="center" wrapText="1"/>
    </xf>
    <xf numFmtId="0" fontId="0" fillId="15" borderId="33" xfId="0" applyFill="1" applyBorder="1" applyAlignment="1">
      <alignment vertical="center" wrapText="1"/>
    </xf>
    <xf numFmtId="0" fontId="0" fillId="15" borderId="34" xfId="0" applyFill="1" applyBorder="1" applyAlignment="1">
      <alignment vertical="center" wrapText="1"/>
    </xf>
    <xf numFmtId="0" fontId="0" fillId="15" borderId="32" xfId="0" applyFill="1" applyBorder="1" applyAlignment="1">
      <alignment vertical="center" wrapText="1"/>
    </xf>
    <xf numFmtId="0" fontId="46" fillId="0" borderId="0" xfId="0" applyFont="1" applyAlignment="1">
      <alignment vertical="center"/>
    </xf>
    <xf numFmtId="0" fontId="49" fillId="0" borderId="0" xfId="0" applyFont="1" applyAlignment="1">
      <alignment vertical="center" wrapText="1"/>
    </xf>
    <xf numFmtId="0" fontId="49" fillId="0" borderId="0" xfId="0" applyFont="1" applyAlignment="1">
      <alignment horizontal="left" vertical="top" wrapText="1"/>
    </xf>
    <xf numFmtId="0" fontId="35" fillId="0" borderId="0" xfId="0" applyFont="1" applyAlignment="1">
      <alignment wrapText="1"/>
    </xf>
    <xf numFmtId="0" fontId="11" fillId="0" borderId="0" xfId="0" applyFont="1" applyAlignment="1">
      <alignment vertical="center"/>
    </xf>
    <xf numFmtId="0" fontId="3" fillId="0" borderId="0" xfId="0" applyFont="1" applyAlignment="1">
      <alignment vertical="center" wrapText="1"/>
    </xf>
    <xf numFmtId="0" fontId="3" fillId="0" borderId="0" xfId="0" applyFont="1" applyAlignment="1">
      <alignment vertical="center"/>
    </xf>
    <xf numFmtId="0" fontId="0" fillId="13" borderId="67" xfId="5" applyFont="1" applyBorder="1" applyAlignment="1">
      <alignment horizontal="left" vertical="center" wrapText="1"/>
      <protection locked="0" hidden="1"/>
    </xf>
    <xf numFmtId="0" fontId="0" fillId="13" borderId="0" xfId="5" applyFont="1" applyBorder="1" applyAlignment="1">
      <alignment horizontal="left" vertical="center" wrapText="1"/>
      <protection locked="0" hidden="1"/>
    </xf>
    <xf numFmtId="0" fontId="0" fillId="13" borderId="67" xfId="5" applyFont="1" applyBorder="1">
      <alignment vertical="center" wrapText="1"/>
      <protection locked="0" hidden="1"/>
    </xf>
    <xf numFmtId="0" fontId="0" fillId="13" borderId="0" xfId="5" applyFont="1" applyBorder="1">
      <alignment vertical="center" wrapText="1"/>
      <protection locked="0" hidden="1"/>
    </xf>
    <xf numFmtId="0" fontId="109" fillId="0" borderId="0" xfId="0" applyFont="1" applyAlignment="1">
      <alignment horizontal="left" wrapText="1"/>
    </xf>
    <xf numFmtId="0" fontId="46" fillId="0" borderId="0" xfId="0" applyFont="1" applyAlignment="1">
      <alignment vertical="center" wrapText="1"/>
    </xf>
    <xf numFmtId="0" fontId="112" fillId="0" borderId="0" xfId="0" applyFont="1" applyAlignment="1">
      <alignment horizontal="center"/>
    </xf>
    <xf numFmtId="0" fontId="114" fillId="0" borderId="0" xfId="0" applyFont="1" applyAlignment="1">
      <alignment horizontal="center"/>
    </xf>
    <xf numFmtId="0" fontId="0" fillId="0" borderId="0" xfId="0"/>
    <xf numFmtId="0" fontId="0" fillId="0" borderId="0" xfId="0" applyAlignment="1">
      <alignment horizontal="left" vertical="center"/>
    </xf>
    <xf numFmtId="0" fontId="0" fillId="0" borderId="0" xfId="0" applyAlignment="1">
      <alignment horizontal="left" vertical="center" wrapText="1"/>
    </xf>
    <xf numFmtId="0" fontId="113" fillId="0" borderId="0" xfId="0" applyFont="1" applyAlignment="1">
      <alignment horizontal="center"/>
    </xf>
    <xf numFmtId="0" fontId="115" fillId="0" borderId="0" xfId="0" applyFont="1" applyAlignment="1">
      <alignment horizontal="center"/>
    </xf>
    <xf numFmtId="0" fontId="10" fillId="9" borderId="4" xfId="7" applyFont="1" applyBorder="1">
      <alignment vertical="center" wrapText="1"/>
    </xf>
    <xf numFmtId="0" fontId="10" fillId="9" borderId="13" xfId="7" applyFont="1" applyBorder="1">
      <alignment vertical="center" wrapText="1"/>
    </xf>
    <xf numFmtId="0" fontId="10" fillId="9" borderId="8" xfId="7" applyFont="1" applyBorder="1">
      <alignment vertical="center" wrapText="1"/>
    </xf>
    <xf numFmtId="0" fontId="29" fillId="13" borderId="9" xfId="5" applyFont="1">
      <alignment vertical="center" wrapText="1"/>
      <protection locked="0" hidden="1"/>
    </xf>
  </cellXfs>
  <cellStyles count="28">
    <cellStyle name="20% - Accent3" xfId="27" builtinId="38"/>
    <cellStyle name="Accent5" xfId="23" builtinId="45"/>
    <cellStyle name="Bad" xfId="17" builtinId="27" hidden="1"/>
    <cellStyle name="Calculation" xfId="7" builtinId="22" customBuiltin="1"/>
    <cellStyle name="Cell" xfId="24" xr:uid="{5D05DD52-A614-44F2-BEEE-ECA63C0AA5AA}"/>
    <cellStyle name="Check Cell" xfId="20" builtinId="23" hidden="1"/>
    <cellStyle name="Col Total" xfId="25" xr:uid="{6FF6A4E9-5729-4342-B798-5FD24D360145}"/>
    <cellStyle name="Column Header" xfId="10" xr:uid="{DAFD240C-79ED-409C-AB16-30D65CB1D676}"/>
    <cellStyle name="Comma" xfId="1" builtinId="3" customBuiltin="1"/>
    <cellStyle name="Currency" xfId="14" builtinId="4" customBuiltin="1"/>
    <cellStyle name="Explanatory Text" xfId="8" builtinId="53" customBuiltin="1"/>
    <cellStyle name="Followed Hyperlink" xfId="13" builtinId="9" customBuiltin="1"/>
    <cellStyle name="Good" xfId="16" builtinId="26" hidden="1"/>
    <cellStyle name="Heading 1" xfId="3" builtinId="16" customBuiltin="1"/>
    <cellStyle name="Heading 2" xfId="4" builtinId="17" customBuiltin="1"/>
    <cellStyle name="Heading 3" xfId="15" builtinId="18" customBuiltin="1"/>
    <cellStyle name="Hyperlink" xfId="12" builtinId="8" customBuiltin="1"/>
    <cellStyle name="Input" xfId="5" builtinId="20" customBuiltin="1"/>
    <cellStyle name="Linked Cell" xfId="19" builtinId="24" hidden="1"/>
    <cellStyle name="Neutral" xfId="18" builtinId="28" hidden="1"/>
    <cellStyle name="Normal" xfId="0" builtinId="0" customBuiltin="1"/>
    <cellStyle name="Normal 2" xfId="26" xr:uid="{4FBB05A6-3018-4FAF-AD13-9A3F74A3B7CB}"/>
    <cellStyle name="Output" xfId="6" builtinId="21"/>
    <cellStyle name="Percent" xfId="22" builtinId="5"/>
    <cellStyle name="Row Title" xfId="9" xr:uid="{897472AC-082D-4EF0-98DB-6A67D55E61C5}"/>
    <cellStyle name="Title" xfId="2" builtinId="15" customBuiltin="1"/>
    <cellStyle name="Total" xfId="21" builtinId="25" hidden="1" customBuiltin="1"/>
    <cellStyle name="Total" xfId="11" xr:uid="{290A1717-9998-4632-870A-2B722D4AE73A}"/>
  </cellStyles>
  <dxfs count="75">
    <dxf>
      <numFmt numFmtId="0" formatCode="General"/>
    </dxf>
    <dxf>
      <numFmt numFmtId="3" formatCode="#,##0"/>
    </dxf>
    <dxf>
      <numFmt numFmtId="0" formatCode="General"/>
    </dxf>
    <dxf>
      <numFmt numFmtId="4" formatCode="#,##0.00"/>
    </dxf>
    <dxf>
      <border outline="0">
        <left style="medium">
          <color rgb="FFA3A3A3"/>
        </left>
      </border>
    </dxf>
    <dxf>
      <border outline="0">
        <right style="medium">
          <color rgb="FFA3A3A3"/>
        </right>
      </border>
    </dxf>
    <dxf>
      <numFmt numFmtId="171" formatCode="#,##0.0000"/>
    </dxf>
    <dxf>
      <numFmt numFmtId="171" formatCode="#,##0.000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vertical/>
        <horizontal/>
      </border>
    </dxf>
    <dxf>
      <numFmt numFmtId="3" formatCode="#,##0"/>
    </dxf>
    <dxf>
      <numFmt numFmtId="10" formatCode="&quot;$&quot;#,##0_);[Red]\(&quot;$&quot;#,##0\)"/>
    </dxf>
    <dxf>
      <numFmt numFmtId="174" formatCode="&quot;$&quot;#,##0.0"/>
    </dxf>
    <dxf>
      <numFmt numFmtId="19" formatCode="m/d/yyyy"/>
    </dxf>
    <dxf>
      <numFmt numFmtId="170" formatCode="&quot;$&quot;#,##0.00"/>
    </dxf>
    <dxf>
      <numFmt numFmtId="19" formatCode="m/d/yyyy"/>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dxf>
    <dxf>
      <numFmt numFmtId="164" formatCode="&quot;$&quot;#,##0"/>
    </dxf>
    <dxf>
      <alignment wrapText="1"/>
    </dxf>
    <dxf>
      <alignment wrapText="1"/>
    </dxf>
    <dxf>
      <border>
        <bottom style="medium">
          <color indexed="64"/>
        </bottom>
      </border>
    </dxf>
    <dxf>
      <border>
        <bottom style="medium">
          <color indexed="64"/>
        </bottom>
      </border>
    </dxf>
    <dxf>
      <border>
        <bottom style="medium">
          <color indexed="64"/>
        </bottom>
      </border>
    </dxf>
    <dxf>
      <fill>
        <patternFill patternType="solid">
          <bgColor theme="8" tint="0.59999389629810485"/>
        </patternFill>
      </fill>
    </dxf>
    <dxf>
      <border>
        <top style="double">
          <color indexed="64"/>
        </top>
      </border>
    </dxf>
    <dxf>
      <border>
        <top style="double">
          <color indexed="64"/>
        </top>
      </border>
    </dxf>
    <dxf>
      <fill>
        <patternFill patternType="solid">
          <bgColor theme="0" tint="-0.14999847407452621"/>
        </patternFill>
      </fill>
    </dxf>
    <dxf>
      <fill>
        <patternFill patternType="solid">
          <bgColor theme="0" tint="-0.14999847407452621"/>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numFmt numFmtId="164" formatCode="&quot;$&quot;#,##0"/>
    </dxf>
    <dxf>
      <font>
        <b/>
      </font>
    </dxf>
    <dxf>
      <font>
        <b/>
      </font>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dxf>
    <dxf>
      <numFmt numFmtId="1" formatCode="0"/>
    </dxf>
    <dxf>
      <numFmt numFmtId="1" formatCode="0"/>
    </dxf>
    <dxf>
      <numFmt numFmtId="1" formatCode="0"/>
    </dxf>
    <dxf>
      <numFmt numFmtId="1" formatCode="0"/>
    </dxf>
    <dxf>
      <numFmt numFmtId="19" formatCode="m/d/yyyy"/>
    </dxf>
    <dxf>
      <numFmt numFmtId="1" formatCode="0"/>
    </dxf>
    <dxf>
      <numFmt numFmtId="1" formatCode="0"/>
    </dxf>
    <dxf>
      <numFmt numFmtId="1" formatCode="0"/>
    </dxf>
    <dxf>
      <numFmt numFmtId="1" formatCode="0"/>
    </dxf>
    <dxf>
      <numFmt numFmtId="1" formatCode="0"/>
    </dxf>
    <dxf>
      <numFmt numFmtId="19" formatCode="m/d/yyyy"/>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0" formatCode="&quot;$&quot;#,##0.00"/>
      <alignment horizontal="left" vertical="bottom" textRotation="0" wrapText="0" indent="0" justifyLastLine="0" shrinkToFit="0" readingOrder="0"/>
      <border diagonalUp="0" diagonalDown="0" outline="0">
        <left style="thin">
          <color rgb="FFFFFFFF"/>
        </left>
        <right/>
        <top style="thin">
          <color rgb="FFFFFFFF"/>
        </top>
        <bottom/>
      </border>
    </dxf>
    <dxf>
      <alignment horizontal="left" vertical="bottom" textRotation="0" wrapText="0" indent="0" justifyLastLine="0" shrinkToFit="0" readingOrder="0"/>
      <border diagonalUp="0" diagonalDown="0" outline="0">
        <left/>
        <right/>
        <top style="thin">
          <color rgb="FFFFFFFF"/>
        </top>
        <bottom/>
      </border>
    </dxf>
    <dxf>
      <numFmt numFmtId="19" formatCode="m/d/yyyy"/>
      <alignment horizontal="left" vertical="bottom" textRotation="0" wrapText="0" indent="0" justifyLastLine="0" shrinkToFit="0" readingOrder="0"/>
      <border diagonalUp="0" diagonalDown="0" outline="0">
        <left style="thin">
          <color rgb="FFFFFFFF"/>
        </left>
        <right style="thin">
          <color rgb="FFFFFFFF"/>
        </right>
        <top style="thin">
          <color rgb="FFFFFFFF"/>
        </top>
        <bottom/>
      </border>
    </dxf>
    <dxf>
      <alignment horizontal="left" vertical="bottom" textRotation="0" wrapText="0" indent="0" justifyLastLine="0" shrinkToFit="0" readingOrder="0"/>
      <border diagonalUp="0" diagonalDown="0" outline="0">
        <left/>
        <right/>
        <top style="thin">
          <color rgb="FFFFFFFF"/>
        </top>
        <bottom/>
      </border>
    </dxf>
    <dxf>
      <border outline="0">
        <top style="thin">
          <color rgb="FFFFFFFF"/>
        </top>
      </border>
    </dxf>
    <dxf>
      <border outline="0">
        <left style="thin">
          <color rgb="FFFFFFFF"/>
        </left>
        <right style="thin">
          <color rgb="FFFFFFFF"/>
        </right>
        <top style="thin">
          <color rgb="FFFFFFFF"/>
        </top>
        <bottom style="thin">
          <color rgb="FFFFFFFF"/>
        </bottom>
      </border>
    </dxf>
    <dxf>
      <border outline="0">
        <bottom style="thin">
          <color rgb="FFFFFFFF"/>
        </bottom>
      </border>
    </dxf>
    <dxf>
      <numFmt numFmtId="1" formatCode="0"/>
    </dxf>
    <dxf>
      <numFmt numFmtId="1" formatCode="0"/>
    </dxf>
    <dxf>
      <numFmt numFmtId="1" formatCode="0"/>
    </dxf>
  </dxfs>
  <tableStyles count="0" defaultTableStyle="TableStyleMedium2" defaultPivotStyle="PivotStyleLight16"/>
  <colors>
    <mruColors>
      <color rgb="FFED7D31"/>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22/10/relationships/richValueRel" Target="richData/richValueRel.xml"/><Relationship Id="rId30" Type="http://schemas.microsoft.com/office/2017/06/relationships/rdRichValueTypes" Target="richData/rdRichValueTyp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2.xml"/><Relationship Id="rId1" Type="http://schemas.microsoft.com/office/2011/relationships/chartStyle" Target="style22.xml"/></Relationships>
</file>

<file path=xl/charts/_rels/chart1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4.xml"/><Relationship Id="rId1" Type="http://schemas.microsoft.com/office/2011/relationships/chartStyle" Target="style24.xml"/></Relationships>
</file>

<file path=xl/charts/_rels/chart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Costs Vs. Benefits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20487626249130775"/>
          <c:y val="0.24481848184818486"/>
          <c:w val="0.75897914776559716"/>
          <c:h val="0.60205763883474961"/>
        </c:manualLayout>
      </c:layout>
      <c:barChart>
        <c:barDir val="col"/>
        <c:grouping val="clustered"/>
        <c:varyColors val="0"/>
        <c:ser>
          <c:idx val="0"/>
          <c:order val="0"/>
          <c:tx>
            <c:strRef>
              <c:f>QuickStart!$F$82</c:f>
              <c:strCache>
                <c:ptCount val="1"/>
                <c:pt idx="0">
                  <c:v>Value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2D97-4106-854E-651A83788414}"/>
              </c:ext>
            </c:extLst>
          </c:dPt>
          <c:dPt>
            <c:idx val="1"/>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D97-4106-854E-651A837884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QuickStart!$E$83:$E$84</c:f>
              <c:strCache>
                <c:ptCount val="2"/>
                <c:pt idx="0">
                  <c:v>Costs</c:v>
                </c:pt>
                <c:pt idx="1">
                  <c:v>Benefits</c:v>
                </c:pt>
              </c:strCache>
            </c:strRef>
          </c:cat>
          <c:val>
            <c:numRef>
              <c:f>QuickStart!$F$83:$F$84</c:f>
              <c:numCache>
                <c:formatCode>"$"#,##0</c:formatCode>
                <c:ptCount val="2"/>
                <c:pt idx="0">
                  <c:v>25323.859472219207</c:v>
                </c:pt>
                <c:pt idx="1">
                  <c:v>125594.32157547903</c:v>
                </c:pt>
              </c:numCache>
            </c:numRef>
          </c:val>
          <c:extLst>
            <c:ext xmlns:c16="http://schemas.microsoft.com/office/drawing/2014/chart" uri="{C3380CC4-5D6E-409C-BE32-E72D297353CC}">
              <c16:uniqueId val="{00000004-2D97-4106-854E-651A83788414}"/>
            </c:ext>
          </c:extLst>
        </c:ser>
        <c:dLbls>
          <c:dLblPos val="inEnd"/>
          <c:showLegendKey val="0"/>
          <c:showVal val="1"/>
          <c:showCatName val="0"/>
          <c:showSerName val="0"/>
          <c:showPercent val="0"/>
          <c:showBubbleSize val="0"/>
        </c:dLbls>
        <c:gapWidth val="100"/>
        <c:overlap val="-24"/>
        <c:axId val="703107568"/>
        <c:axId val="703107896"/>
      </c:barChart>
      <c:catAx>
        <c:axId val="703107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3107896"/>
        <c:crosses val="autoZero"/>
        <c:auto val="1"/>
        <c:lblAlgn val="ctr"/>
        <c:lblOffset val="100"/>
        <c:noMultiLvlLbl val="0"/>
      </c:catAx>
      <c:valAx>
        <c:axId val="703107896"/>
        <c:scaling>
          <c:orientation val="minMax"/>
        </c:scaling>
        <c:delete val="0"/>
        <c:axPos val="l"/>
        <c:majorGridlines>
          <c:spPr>
            <a:ln w="9525" cap="flat" cmpd="sng" algn="ctr">
              <a:solidFill>
                <a:schemeClr val="lt1">
                  <a:lumMod val="95000"/>
                  <a:alpha val="10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03107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a:t>Stock</a:t>
            </a:r>
            <a:r>
              <a:rPr lang="en-US" baseline="0"/>
              <a:t> Chart</a:t>
            </a:r>
            <a:endParaRPr lang="en-US"/>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Charts!$C$114</c:f>
              <c:strCache>
                <c:ptCount val="1"/>
                <c:pt idx="0">
                  <c:v>Volume</c:v>
                </c:pt>
              </c:strCache>
            </c:strRef>
          </c:tx>
          <c:spPr>
            <a:solidFill>
              <a:schemeClr val="accent1"/>
            </a:solidFill>
            <a:ln>
              <a:noFill/>
            </a:ln>
            <a:effectLst/>
          </c:spPr>
          <c:invertIfNegative val="0"/>
          <c:cat>
            <c:numRef>
              <c:f>Charts!$B$115:$B$119</c:f>
              <c:numCache>
                <c:formatCode>m/d/yyyy</c:formatCode>
                <c:ptCount val="5"/>
                <c:pt idx="0">
                  <c:v>45532.415293287035</c:v>
                </c:pt>
                <c:pt idx="1">
                  <c:v>45533.415293287035</c:v>
                </c:pt>
                <c:pt idx="2">
                  <c:v>45534.415293287035</c:v>
                </c:pt>
                <c:pt idx="3">
                  <c:v>45535.415293287035</c:v>
                </c:pt>
                <c:pt idx="4">
                  <c:v>45536.415293287035</c:v>
                </c:pt>
              </c:numCache>
            </c:numRef>
          </c:cat>
          <c:val>
            <c:numRef>
              <c:f>Charts!$C$115:$C$119</c:f>
              <c:numCache>
                <c:formatCode>0</c:formatCode>
                <c:ptCount val="5"/>
                <c:pt idx="0">
                  <c:v>50</c:v>
                </c:pt>
                <c:pt idx="1">
                  <c:v>45</c:v>
                </c:pt>
                <c:pt idx="2">
                  <c:v>40.5</c:v>
                </c:pt>
                <c:pt idx="3">
                  <c:v>36.450000000000003</c:v>
                </c:pt>
                <c:pt idx="4">
                  <c:v>32.805000000000007</c:v>
                </c:pt>
              </c:numCache>
            </c:numRef>
          </c:val>
          <c:extLst>
            <c:ext xmlns:c16="http://schemas.microsoft.com/office/drawing/2014/chart" uri="{C3380CC4-5D6E-409C-BE32-E72D297353CC}">
              <c16:uniqueId val="{00000000-7D98-47E1-972D-54638A4CC466}"/>
            </c:ext>
          </c:extLst>
        </c:ser>
        <c:dLbls>
          <c:showLegendKey val="0"/>
          <c:showVal val="0"/>
          <c:showCatName val="0"/>
          <c:showSerName val="0"/>
          <c:showPercent val="0"/>
          <c:showBubbleSize val="0"/>
        </c:dLbls>
        <c:gapWidth val="150"/>
        <c:axId val="567626312"/>
        <c:axId val="567622704"/>
      </c:barChart>
      <c:stockChart>
        <c:ser>
          <c:idx val="1"/>
          <c:order val="1"/>
          <c:tx>
            <c:strRef>
              <c:f>Charts!$D$114</c:f>
              <c:strCache>
                <c:ptCount val="1"/>
                <c:pt idx="0">
                  <c:v>Open</c:v>
                </c:pt>
              </c:strCache>
            </c:strRef>
          </c:tx>
          <c:spPr>
            <a:ln w="25400" cap="rnd">
              <a:noFill/>
              <a:round/>
            </a:ln>
            <a:effectLst/>
          </c:spPr>
          <c:marker>
            <c:symbol val="none"/>
          </c:marker>
          <c:cat>
            <c:numRef>
              <c:f>Charts!$B$115:$B$119</c:f>
              <c:numCache>
                <c:formatCode>m/d/yyyy</c:formatCode>
                <c:ptCount val="5"/>
                <c:pt idx="0">
                  <c:v>45532.415293287035</c:v>
                </c:pt>
                <c:pt idx="1">
                  <c:v>45533.415293287035</c:v>
                </c:pt>
                <c:pt idx="2">
                  <c:v>45534.415293287035</c:v>
                </c:pt>
                <c:pt idx="3">
                  <c:v>45535.415293287035</c:v>
                </c:pt>
                <c:pt idx="4">
                  <c:v>45536.415293287035</c:v>
                </c:pt>
              </c:numCache>
            </c:numRef>
          </c:cat>
          <c:val>
            <c:numRef>
              <c:f>Charts!$D$115:$D$119</c:f>
              <c:numCache>
                <c:formatCode>0</c:formatCode>
                <c:ptCount val="5"/>
                <c:pt idx="0">
                  <c:v>10</c:v>
                </c:pt>
                <c:pt idx="1">
                  <c:v>13</c:v>
                </c:pt>
                <c:pt idx="2">
                  <c:v>16</c:v>
                </c:pt>
                <c:pt idx="3">
                  <c:v>19</c:v>
                </c:pt>
                <c:pt idx="4">
                  <c:v>22</c:v>
                </c:pt>
              </c:numCache>
            </c:numRef>
          </c:val>
          <c:smooth val="0"/>
          <c:extLst>
            <c:ext xmlns:c16="http://schemas.microsoft.com/office/drawing/2014/chart" uri="{C3380CC4-5D6E-409C-BE32-E72D297353CC}">
              <c16:uniqueId val="{00000001-7D98-47E1-972D-54638A4CC466}"/>
            </c:ext>
          </c:extLst>
        </c:ser>
        <c:ser>
          <c:idx val="2"/>
          <c:order val="2"/>
          <c:tx>
            <c:strRef>
              <c:f>Charts!$E$114</c:f>
              <c:strCache>
                <c:ptCount val="1"/>
                <c:pt idx="0">
                  <c:v>High</c:v>
                </c:pt>
              </c:strCache>
            </c:strRef>
          </c:tx>
          <c:spPr>
            <a:ln w="25400" cap="rnd">
              <a:noFill/>
              <a:round/>
            </a:ln>
            <a:effectLst/>
          </c:spPr>
          <c:marker>
            <c:symbol val="none"/>
          </c:marker>
          <c:cat>
            <c:numRef>
              <c:f>Charts!$B$115:$B$119</c:f>
              <c:numCache>
                <c:formatCode>m/d/yyyy</c:formatCode>
                <c:ptCount val="5"/>
                <c:pt idx="0">
                  <c:v>45532.415293287035</c:v>
                </c:pt>
                <c:pt idx="1">
                  <c:v>45533.415293287035</c:v>
                </c:pt>
                <c:pt idx="2">
                  <c:v>45534.415293287035</c:v>
                </c:pt>
                <c:pt idx="3">
                  <c:v>45535.415293287035</c:v>
                </c:pt>
                <c:pt idx="4">
                  <c:v>45536.415293287035</c:v>
                </c:pt>
              </c:numCache>
            </c:numRef>
          </c:cat>
          <c:val>
            <c:numRef>
              <c:f>Charts!$E$115:$E$119</c:f>
              <c:numCache>
                <c:formatCode>0</c:formatCode>
                <c:ptCount val="5"/>
                <c:pt idx="0">
                  <c:v>16.900000000000002</c:v>
                </c:pt>
                <c:pt idx="1">
                  <c:v>20.8</c:v>
                </c:pt>
                <c:pt idx="2">
                  <c:v>24.7</c:v>
                </c:pt>
                <c:pt idx="3">
                  <c:v>28.6</c:v>
                </c:pt>
                <c:pt idx="4">
                  <c:v>32.5</c:v>
                </c:pt>
              </c:numCache>
            </c:numRef>
          </c:val>
          <c:smooth val="0"/>
          <c:extLst>
            <c:ext xmlns:c16="http://schemas.microsoft.com/office/drawing/2014/chart" uri="{C3380CC4-5D6E-409C-BE32-E72D297353CC}">
              <c16:uniqueId val="{00000002-7D98-47E1-972D-54638A4CC466}"/>
            </c:ext>
          </c:extLst>
        </c:ser>
        <c:ser>
          <c:idx val="3"/>
          <c:order val="3"/>
          <c:tx>
            <c:strRef>
              <c:f>Charts!$F$114</c:f>
              <c:strCache>
                <c:ptCount val="1"/>
                <c:pt idx="0">
                  <c:v>Low</c:v>
                </c:pt>
              </c:strCache>
            </c:strRef>
          </c:tx>
          <c:spPr>
            <a:ln w="25400" cap="rnd">
              <a:noFill/>
              <a:round/>
            </a:ln>
            <a:effectLst/>
          </c:spPr>
          <c:marker>
            <c:symbol val="none"/>
          </c:marker>
          <c:cat>
            <c:numRef>
              <c:f>Charts!$B$115:$B$119</c:f>
              <c:numCache>
                <c:formatCode>m/d/yyyy</c:formatCode>
                <c:ptCount val="5"/>
                <c:pt idx="0">
                  <c:v>45532.415293287035</c:v>
                </c:pt>
                <c:pt idx="1">
                  <c:v>45533.415293287035</c:v>
                </c:pt>
                <c:pt idx="2">
                  <c:v>45534.415293287035</c:v>
                </c:pt>
                <c:pt idx="3">
                  <c:v>45535.415293287035</c:v>
                </c:pt>
                <c:pt idx="4">
                  <c:v>45536.415293287035</c:v>
                </c:pt>
              </c:numCache>
            </c:numRef>
          </c:cat>
          <c:val>
            <c:numRef>
              <c:f>Charts!$F$115:$F$119</c:f>
              <c:numCache>
                <c:formatCode>0</c:formatCode>
                <c:ptCount val="5"/>
                <c:pt idx="0">
                  <c:v>8</c:v>
                </c:pt>
                <c:pt idx="1">
                  <c:v>10.4</c:v>
                </c:pt>
                <c:pt idx="2">
                  <c:v>12.8</c:v>
                </c:pt>
                <c:pt idx="3">
                  <c:v>15.200000000000001</c:v>
                </c:pt>
                <c:pt idx="4">
                  <c:v>17.600000000000001</c:v>
                </c:pt>
              </c:numCache>
            </c:numRef>
          </c:val>
          <c:smooth val="0"/>
          <c:extLst>
            <c:ext xmlns:c16="http://schemas.microsoft.com/office/drawing/2014/chart" uri="{C3380CC4-5D6E-409C-BE32-E72D297353CC}">
              <c16:uniqueId val="{00000003-7D98-47E1-972D-54638A4CC466}"/>
            </c:ext>
          </c:extLst>
        </c:ser>
        <c:ser>
          <c:idx val="4"/>
          <c:order val="4"/>
          <c:tx>
            <c:strRef>
              <c:f>Charts!$G$114</c:f>
              <c:strCache>
                <c:ptCount val="1"/>
                <c:pt idx="0">
                  <c:v>Close</c:v>
                </c:pt>
              </c:strCache>
            </c:strRef>
          </c:tx>
          <c:spPr>
            <a:ln w="25400" cap="rnd">
              <a:noFill/>
              <a:round/>
            </a:ln>
            <a:effectLst/>
          </c:spPr>
          <c:marker>
            <c:symbol val="none"/>
          </c:marker>
          <c:cat>
            <c:numRef>
              <c:f>Charts!$B$115:$B$119</c:f>
              <c:numCache>
                <c:formatCode>m/d/yyyy</c:formatCode>
                <c:ptCount val="5"/>
                <c:pt idx="0">
                  <c:v>45532.415293287035</c:v>
                </c:pt>
                <c:pt idx="1">
                  <c:v>45533.415293287035</c:v>
                </c:pt>
                <c:pt idx="2">
                  <c:v>45534.415293287035</c:v>
                </c:pt>
                <c:pt idx="3">
                  <c:v>45535.415293287035</c:v>
                </c:pt>
                <c:pt idx="4">
                  <c:v>45536.415293287035</c:v>
                </c:pt>
              </c:numCache>
            </c:numRef>
          </c:cat>
          <c:val>
            <c:numRef>
              <c:f>Charts!$G$115:$G$119</c:f>
              <c:numCache>
                <c:formatCode>0</c:formatCode>
                <c:ptCount val="5"/>
                <c:pt idx="0">
                  <c:v>13</c:v>
                </c:pt>
                <c:pt idx="1">
                  <c:v>16</c:v>
                </c:pt>
                <c:pt idx="2">
                  <c:v>19</c:v>
                </c:pt>
                <c:pt idx="3">
                  <c:v>22</c:v>
                </c:pt>
                <c:pt idx="4">
                  <c:v>25</c:v>
                </c:pt>
              </c:numCache>
            </c:numRef>
          </c:val>
          <c:smooth val="0"/>
          <c:extLst>
            <c:ext xmlns:c16="http://schemas.microsoft.com/office/drawing/2014/chart" uri="{C3380CC4-5D6E-409C-BE32-E72D297353CC}">
              <c16:uniqueId val="{00000004-7D98-47E1-972D-54638A4CC4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upDownBars>
          <c:gapWidth val="150"/>
          <c:upBars>
            <c:spPr>
              <a:solidFill>
                <a:schemeClr val="lt1"/>
              </a:solidFill>
              <a:ln w="9525" cap="flat" cmpd="sng" algn="ctr">
                <a:solidFill>
                  <a:schemeClr val="tx1">
                    <a:lumMod val="65000"/>
                    <a:lumOff val="35000"/>
                  </a:schemeClr>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567616144"/>
        <c:axId val="567621392"/>
      </c:stockChart>
      <c:dateAx>
        <c:axId val="56762631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7622704"/>
        <c:crosses val="autoZero"/>
        <c:auto val="1"/>
        <c:lblOffset val="100"/>
        <c:baseTimeUnit val="days"/>
      </c:dateAx>
      <c:valAx>
        <c:axId val="567622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7626312"/>
        <c:crosses val="autoZero"/>
        <c:crossBetween val="between"/>
      </c:valAx>
      <c:valAx>
        <c:axId val="56762139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7616144"/>
        <c:crosses val="max"/>
        <c:crossBetween val="between"/>
      </c:valAx>
      <c:dateAx>
        <c:axId val="567616144"/>
        <c:scaling>
          <c:orientation val="minMax"/>
        </c:scaling>
        <c:delete val="1"/>
        <c:axPos val="b"/>
        <c:numFmt formatCode="m/d/yyyy" sourceLinked="1"/>
        <c:majorTickMark val="out"/>
        <c:minorTickMark val="none"/>
        <c:tickLblPos val="nextTo"/>
        <c:crossAx val="56762139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Combo - Clustered Column - 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Charts!$C$31</c:f>
              <c:strCache>
                <c:ptCount val="1"/>
                <c:pt idx="0">
                  <c:v>Series A</c:v>
                </c:pt>
              </c:strCache>
            </c:strRef>
          </c:tx>
          <c:spPr>
            <a:solidFill>
              <a:schemeClr val="accent1"/>
            </a:solidFill>
            <a:ln>
              <a:noFill/>
            </a:ln>
            <a:effectLst/>
          </c:spPr>
          <c:invertIfNegative val="0"/>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81CA-435D-B5E3-46F5EF8168B3}"/>
            </c:ext>
          </c:extLst>
        </c:ser>
        <c:ser>
          <c:idx val="1"/>
          <c:order val="1"/>
          <c:tx>
            <c:strRef>
              <c:f>Charts!$D$31</c:f>
              <c:strCache>
                <c:ptCount val="1"/>
                <c:pt idx="0">
                  <c:v>Series B</c:v>
                </c:pt>
              </c:strCache>
            </c:strRef>
          </c:tx>
          <c:spPr>
            <a:solidFill>
              <a:schemeClr val="accent2"/>
            </a:solidFill>
            <a:ln>
              <a:noFill/>
            </a:ln>
            <a:effectLst/>
          </c:spPr>
          <c:invertIfNegative val="0"/>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81CA-435D-B5E3-46F5EF8168B3}"/>
            </c:ext>
          </c:extLst>
        </c:ser>
        <c:dLbls>
          <c:showLegendKey val="0"/>
          <c:showVal val="0"/>
          <c:showCatName val="0"/>
          <c:showSerName val="0"/>
          <c:showPercent val="0"/>
          <c:showBubbleSize val="0"/>
        </c:dLbls>
        <c:gapWidth val="219"/>
        <c:overlap val="-27"/>
        <c:axId val="348389408"/>
        <c:axId val="348394984"/>
      </c:barChart>
      <c:lineChart>
        <c:grouping val="standard"/>
        <c:varyColors val="0"/>
        <c:ser>
          <c:idx val="2"/>
          <c:order val="2"/>
          <c:tx>
            <c:strRef>
              <c:f>Charts!$E$31</c:f>
              <c:strCache>
                <c:ptCount val="1"/>
                <c:pt idx="0">
                  <c:v>Series C</c:v>
                </c:pt>
              </c:strCache>
            </c:strRef>
          </c:tx>
          <c:spPr>
            <a:ln w="28575" cap="rnd">
              <a:solidFill>
                <a:schemeClr val="accent3"/>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smooth val="0"/>
          <c:extLst>
            <c:ext xmlns:c16="http://schemas.microsoft.com/office/drawing/2014/chart" uri="{C3380CC4-5D6E-409C-BE32-E72D297353CC}">
              <c16:uniqueId val="{00000002-81CA-435D-B5E3-46F5EF8168B3}"/>
            </c:ext>
          </c:extLst>
        </c:ser>
        <c:dLbls>
          <c:showLegendKey val="0"/>
          <c:showVal val="0"/>
          <c:showCatName val="0"/>
          <c:showSerName val="0"/>
          <c:showPercent val="0"/>
          <c:showBubbleSize val="0"/>
        </c:dLbls>
        <c:marker val="1"/>
        <c:smooth val="0"/>
        <c:axId val="348389408"/>
        <c:axId val="348394984"/>
      </c:lineChart>
      <c:catAx>
        <c:axId val="34838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48394984"/>
        <c:crosses val="autoZero"/>
        <c:auto val="1"/>
        <c:lblAlgn val="ctr"/>
        <c:lblOffset val="100"/>
        <c:noMultiLvlLbl val="0"/>
      </c:catAx>
      <c:valAx>
        <c:axId val="348394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48389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Combo - Stacked Area – Clustered Column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Charts!$C$31</c:f>
              <c:strCache>
                <c:ptCount val="1"/>
                <c:pt idx="0">
                  <c:v>Series A</c:v>
                </c:pt>
              </c:strCache>
            </c:strRef>
          </c:tx>
          <c:spPr>
            <a:solidFill>
              <a:schemeClr val="accent1"/>
            </a:solidFill>
            <a:ln w="25400">
              <a:noFill/>
            </a:ln>
            <a:effectLst/>
          </c:spPr>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EBE4-4C1A-BEAC-537C6B922278}"/>
            </c:ext>
          </c:extLst>
        </c:ser>
        <c:ser>
          <c:idx val="1"/>
          <c:order val="1"/>
          <c:tx>
            <c:strRef>
              <c:f>Charts!$D$31</c:f>
              <c:strCache>
                <c:ptCount val="1"/>
                <c:pt idx="0">
                  <c:v>Series B</c:v>
                </c:pt>
              </c:strCache>
            </c:strRef>
          </c:tx>
          <c:spPr>
            <a:solidFill>
              <a:schemeClr val="accent2"/>
            </a:solidFill>
            <a:ln w="25400">
              <a:noFill/>
            </a:ln>
            <a:effectLst/>
          </c:spPr>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EBE4-4C1A-BEAC-537C6B922278}"/>
            </c:ext>
          </c:extLst>
        </c:ser>
        <c:dLbls>
          <c:showLegendKey val="0"/>
          <c:showVal val="0"/>
          <c:showCatName val="0"/>
          <c:showSerName val="0"/>
          <c:showPercent val="0"/>
          <c:showBubbleSize val="0"/>
        </c:dLbls>
        <c:axId val="309056952"/>
        <c:axId val="309055968"/>
      </c:areaChart>
      <c:barChart>
        <c:barDir val="col"/>
        <c:grouping val="clustered"/>
        <c:varyColors val="0"/>
        <c:ser>
          <c:idx val="2"/>
          <c:order val="2"/>
          <c:tx>
            <c:strRef>
              <c:f>Charts!$E$31</c:f>
              <c:strCache>
                <c:ptCount val="1"/>
                <c:pt idx="0">
                  <c:v>Series C</c:v>
                </c:pt>
              </c:strCache>
            </c:strRef>
          </c:tx>
          <c:spPr>
            <a:solidFill>
              <a:schemeClr val="accent3"/>
            </a:solidFill>
            <a:ln>
              <a:noFill/>
            </a:ln>
            <a:effectLst/>
          </c:spPr>
          <c:invertIfNegative val="0"/>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2-EBE4-4C1A-BEAC-537C6B922278}"/>
            </c:ext>
          </c:extLst>
        </c:ser>
        <c:dLbls>
          <c:showLegendKey val="0"/>
          <c:showVal val="0"/>
          <c:showCatName val="0"/>
          <c:showSerName val="0"/>
          <c:showPercent val="0"/>
          <c:showBubbleSize val="0"/>
        </c:dLbls>
        <c:gapWidth val="219"/>
        <c:overlap val="-27"/>
        <c:axId val="309056952"/>
        <c:axId val="309055968"/>
      </c:barChart>
      <c:catAx>
        <c:axId val="309056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09055968"/>
        <c:crosses val="autoZero"/>
        <c:auto val="1"/>
        <c:lblAlgn val="ctr"/>
        <c:lblOffset val="100"/>
        <c:noMultiLvlLbl val="0"/>
      </c:catAx>
      <c:valAx>
        <c:axId val="309055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09056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Surface Chart</a:t>
            </a:r>
          </a:p>
        </c:rich>
      </c:tx>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3DChart>
        <c:wireframe val="0"/>
        <c:ser>
          <c:idx val="0"/>
          <c:order val="0"/>
          <c:tx>
            <c:strRef>
              <c:f>Charts!$C$31</c:f>
              <c:strCache>
                <c:ptCount val="1"/>
                <c:pt idx="0">
                  <c:v>Series A</c:v>
                </c:pt>
              </c:strCache>
            </c:strRef>
          </c:tx>
          <c:spPr>
            <a:solidFill>
              <a:schemeClr val="accent1"/>
            </a:solidFill>
            <a:ln/>
            <a:effectLst/>
            <a:sp3d/>
          </c:spPr>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7537-44D1-B5AF-D32B3F6F302C}"/>
            </c:ext>
          </c:extLst>
        </c:ser>
        <c:ser>
          <c:idx val="1"/>
          <c:order val="1"/>
          <c:tx>
            <c:strRef>
              <c:f>Charts!$D$31</c:f>
              <c:strCache>
                <c:ptCount val="1"/>
                <c:pt idx="0">
                  <c:v>Series B</c:v>
                </c:pt>
              </c:strCache>
            </c:strRef>
          </c:tx>
          <c:spPr>
            <a:solidFill>
              <a:schemeClr val="accent2"/>
            </a:solidFill>
            <a:ln/>
            <a:effectLst/>
            <a:sp3d/>
          </c:spPr>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7537-44D1-B5AF-D32B3F6F302C}"/>
            </c:ext>
          </c:extLst>
        </c:ser>
        <c:ser>
          <c:idx val="2"/>
          <c:order val="2"/>
          <c:tx>
            <c:strRef>
              <c:f>Charts!$E$31</c:f>
              <c:strCache>
                <c:ptCount val="1"/>
                <c:pt idx="0">
                  <c:v>Series C</c:v>
                </c:pt>
              </c:strCache>
            </c:strRef>
          </c:tx>
          <c:spPr>
            <a:solidFill>
              <a:schemeClr val="accent3"/>
            </a:solidFill>
            <a:ln/>
            <a:effectLst/>
            <a:sp3d/>
          </c:spPr>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2-7537-44D1-B5AF-D32B3F6F302C}"/>
            </c:ext>
          </c:extLst>
        </c:ser>
        <c:bandFmts>
          <c:bandFmt>
            <c:idx val="0"/>
            <c:spPr>
              <a:solidFill>
                <a:schemeClr val="accent1"/>
              </a:solidFill>
              <a:ln/>
              <a:effectLst/>
              <a:sp3d/>
            </c:spPr>
          </c:bandFmt>
          <c:bandFmt>
            <c:idx val="1"/>
            <c:spPr>
              <a:solidFill>
                <a:schemeClr val="accent2"/>
              </a:solidFill>
              <a:ln/>
              <a:effectLst/>
              <a:sp3d/>
            </c:spPr>
          </c:bandFmt>
          <c:bandFmt>
            <c:idx val="2"/>
            <c:spPr>
              <a:solidFill>
                <a:schemeClr val="accent3"/>
              </a:solidFill>
              <a:ln/>
              <a:effectLst/>
              <a:sp3d/>
            </c:spPr>
          </c:bandFmt>
          <c:bandFmt>
            <c:idx val="3"/>
            <c:spPr>
              <a:solidFill>
                <a:schemeClr val="accent4"/>
              </a:solidFill>
              <a:ln/>
              <a:effectLst/>
              <a:sp3d/>
            </c:spPr>
          </c:bandFmt>
          <c:bandFmt>
            <c:idx val="4"/>
            <c:spPr>
              <a:solidFill>
                <a:schemeClr val="accent5"/>
              </a:solidFill>
              <a:ln/>
              <a:effectLst/>
              <a:sp3d/>
            </c:spPr>
          </c:bandFmt>
          <c:bandFmt>
            <c:idx val="5"/>
            <c:spPr>
              <a:solidFill>
                <a:schemeClr val="accent6"/>
              </a:solidFill>
              <a:ln/>
              <a:effectLst/>
              <a:sp3d/>
            </c:spPr>
          </c:bandFmt>
          <c:bandFmt>
            <c:idx val="6"/>
            <c:spPr>
              <a:solidFill>
                <a:schemeClr val="accent1">
                  <a:lumMod val="60000"/>
                </a:schemeClr>
              </a:solidFill>
              <a:ln/>
              <a:effectLst/>
              <a:sp3d/>
            </c:spPr>
          </c:bandFmt>
          <c:bandFmt>
            <c:idx val="7"/>
            <c:spPr>
              <a:solidFill>
                <a:schemeClr val="accent2">
                  <a:lumMod val="60000"/>
                </a:schemeClr>
              </a:solidFill>
              <a:ln/>
              <a:effectLst/>
              <a:sp3d/>
            </c:spPr>
          </c:bandFmt>
          <c:bandFmt>
            <c:idx val="8"/>
            <c:spPr>
              <a:solidFill>
                <a:schemeClr val="accent3">
                  <a:lumMod val="60000"/>
                </a:schemeClr>
              </a:solidFill>
              <a:ln/>
              <a:effectLst/>
              <a:sp3d/>
            </c:spPr>
          </c:bandFmt>
          <c:bandFmt>
            <c:idx val="9"/>
            <c:spPr>
              <a:solidFill>
                <a:schemeClr val="accent4">
                  <a:lumMod val="60000"/>
                </a:schemeClr>
              </a:solidFill>
              <a:ln/>
              <a:effectLst/>
              <a:sp3d/>
            </c:spPr>
          </c:bandFmt>
          <c:bandFmt>
            <c:idx val="10"/>
            <c:spPr>
              <a:solidFill>
                <a:schemeClr val="accent5">
                  <a:lumMod val="60000"/>
                </a:schemeClr>
              </a:solidFill>
              <a:ln/>
              <a:effectLst/>
              <a:sp3d/>
            </c:spPr>
          </c:bandFmt>
          <c:bandFmt>
            <c:idx val="11"/>
            <c:spPr>
              <a:solidFill>
                <a:schemeClr val="accent6">
                  <a:lumMod val="60000"/>
                </a:schemeClr>
              </a:solidFill>
              <a:ln/>
              <a:effectLst/>
              <a:sp3d/>
            </c:spPr>
          </c:bandFmt>
          <c:bandFmt>
            <c:idx val="12"/>
            <c:spPr>
              <a:solidFill>
                <a:schemeClr val="accent1">
                  <a:lumMod val="80000"/>
                  <a:lumOff val="20000"/>
                </a:schemeClr>
              </a:solidFill>
              <a:ln/>
              <a:effectLst/>
              <a:sp3d/>
            </c:spPr>
          </c:bandFmt>
          <c:bandFmt>
            <c:idx val="13"/>
            <c:spPr>
              <a:solidFill>
                <a:schemeClr val="accent2">
                  <a:lumMod val="80000"/>
                  <a:lumOff val="20000"/>
                </a:schemeClr>
              </a:solidFill>
              <a:ln/>
              <a:effectLst/>
              <a:sp3d/>
            </c:spPr>
          </c:bandFmt>
          <c:bandFmt>
            <c:idx val="14"/>
            <c:spPr>
              <a:solidFill>
                <a:schemeClr val="accent3">
                  <a:lumMod val="80000"/>
                  <a:lumOff val="20000"/>
                </a:schemeClr>
              </a:solidFill>
              <a:ln/>
              <a:effectLst/>
              <a:sp3d/>
            </c:spPr>
          </c:bandFmt>
        </c:bandFmts>
        <c:axId val="564370688"/>
        <c:axId val="564372656"/>
        <c:axId val="352601976"/>
      </c:surface3DChart>
      <c:catAx>
        <c:axId val="564370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4372656"/>
        <c:crosses val="autoZero"/>
        <c:auto val="1"/>
        <c:lblAlgn val="ctr"/>
        <c:lblOffset val="100"/>
        <c:noMultiLvlLbl val="0"/>
      </c:catAx>
      <c:valAx>
        <c:axId val="564372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4370688"/>
        <c:crosses val="autoZero"/>
        <c:crossBetween val="midCat"/>
      </c:valAx>
      <c:serAx>
        <c:axId val="352601976"/>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437265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Radar Chart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Charts!$C$31</c:f>
              <c:strCache>
                <c:ptCount val="1"/>
                <c:pt idx="0">
                  <c:v>Series A</c:v>
                </c:pt>
              </c:strCache>
            </c:strRef>
          </c:tx>
          <c:spPr>
            <a:ln w="28575" cap="rnd">
              <a:solidFill>
                <a:schemeClr val="accent1"/>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210A-4CFC-BA55-09CB9E46EC0A}"/>
            </c:ext>
          </c:extLst>
        </c:ser>
        <c:ser>
          <c:idx val="1"/>
          <c:order val="1"/>
          <c:tx>
            <c:strRef>
              <c:f>Charts!$D$31</c:f>
              <c:strCache>
                <c:ptCount val="1"/>
                <c:pt idx="0">
                  <c:v>Series B</c:v>
                </c:pt>
              </c:strCache>
            </c:strRef>
          </c:tx>
          <c:spPr>
            <a:ln w="28575" cap="rnd">
              <a:solidFill>
                <a:schemeClr val="accent2"/>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210A-4CFC-BA55-09CB9E46EC0A}"/>
            </c:ext>
          </c:extLst>
        </c:ser>
        <c:ser>
          <c:idx val="2"/>
          <c:order val="2"/>
          <c:tx>
            <c:strRef>
              <c:f>Charts!$E$31</c:f>
              <c:strCache>
                <c:ptCount val="1"/>
                <c:pt idx="0">
                  <c:v>Series C</c:v>
                </c:pt>
              </c:strCache>
            </c:strRef>
          </c:tx>
          <c:spPr>
            <a:ln w="28575" cap="rnd">
              <a:solidFill>
                <a:schemeClr val="accent3"/>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2-210A-4CFC-BA55-09CB9E46EC0A}"/>
            </c:ext>
          </c:extLst>
        </c:ser>
        <c:dLbls>
          <c:showLegendKey val="0"/>
          <c:showVal val="0"/>
          <c:showCatName val="0"/>
          <c:showSerName val="0"/>
          <c:showPercent val="0"/>
          <c:showBubbleSize val="0"/>
        </c:dLbls>
        <c:axId val="566256400"/>
        <c:axId val="566248528"/>
      </c:radarChart>
      <c:catAx>
        <c:axId val="56625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6248528"/>
        <c:crosses val="autoZero"/>
        <c:auto val="1"/>
        <c:lblAlgn val="ctr"/>
        <c:lblOffset val="100"/>
        <c:noMultiLvlLbl val="0"/>
      </c:catAx>
      <c:valAx>
        <c:axId val="56624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6256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62" b="0" i="0" u="none" strike="noStrike" kern="1200" spc="0" baseline="0">
                <a:solidFill>
                  <a:schemeClr val="tx1">
                    <a:lumMod val="65000"/>
                    <a:lumOff val="35000"/>
                  </a:schemeClr>
                </a:solidFill>
                <a:latin typeface="+mn-lt"/>
                <a:ea typeface="+mn-ea"/>
                <a:cs typeface="+mn-cs"/>
              </a:defRPr>
            </a:pPr>
            <a:r>
              <a:rPr lang="en-US"/>
              <a:t>Scatter - 2 Series</a:t>
            </a:r>
          </a:p>
        </c:rich>
      </c:tx>
      <c:overlay val="0"/>
      <c:spPr>
        <a:noFill/>
        <a:ln>
          <a:noFill/>
        </a:ln>
        <a:effectLst/>
      </c:spPr>
      <c:txPr>
        <a:bodyPr rot="0" spcFirstLastPara="1" vertOverflow="ellipsis" vert="horz" wrap="square" anchor="ctr" anchorCtr="1"/>
        <a:lstStyle/>
        <a:p>
          <a:pPr>
            <a:defRPr sz="1862"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420196563020862"/>
          <c:y val="0.22314934251309038"/>
          <c:w val="0.7206521447592773"/>
          <c:h val="0.58451047890370489"/>
        </c:manualLayout>
      </c:layout>
      <c:scatterChart>
        <c:scatterStyle val="lineMarker"/>
        <c:varyColors val="0"/>
        <c:ser>
          <c:idx val="0"/>
          <c:order val="0"/>
          <c:tx>
            <c:strRef>
              <c:f>Charts!$J$96</c:f>
              <c:strCache>
                <c:ptCount val="1"/>
                <c:pt idx="0">
                  <c:v>Y1-Values</c:v>
                </c:pt>
              </c:strCache>
            </c:strRef>
          </c:tx>
          <c:spPr>
            <a:ln w="25400" cap="rnd">
              <a:noFill/>
              <a:round/>
            </a:ln>
            <a:effectLst/>
          </c:spPr>
          <c:marker>
            <c:symbol val="circle"/>
            <c:size val="5"/>
            <c:spPr>
              <a:solidFill>
                <a:schemeClr val="accent1"/>
              </a:solidFill>
              <a:ln w="9525">
                <a:solidFill>
                  <a:schemeClr val="accent1"/>
                </a:solidFill>
              </a:ln>
              <a:effectLst/>
            </c:spPr>
          </c:marker>
          <c:xVal>
            <c:numRef>
              <c:f>Charts!$I$97:$I$101</c:f>
              <c:numCache>
                <c:formatCode>0</c:formatCode>
                <c:ptCount val="5"/>
                <c:pt idx="0">
                  <c:v>50</c:v>
                </c:pt>
                <c:pt idx="1">
                  <c:v>45</c:v>
                </c:pt>
                <c:pt idx="2">
                  <c:v>40.5</c:v>
                </c:pt>
                <c:pt idx="3">
                  <c:v>36.450000000000003</c:v>
                </c:pt>
                <c:pt idx="4">
                  <c:v>32.805000000000007</c:v>
                </c:pt>
              </c:numCache>
            </c:numRef>
          </c:xVal>
          <c:yVal>
            <c:numRef>
              <c:f>Charts!$J$97:$J$101</c:f>
              <c:numCache>
                <c:formatCode>0</c:formatCode>
                <c:ptCount val="5"/>
                <c:pt idx="0">
                  <c:v>100</c:v>
                </c:pt>
                <c:pt idx="1">
                  <c:v>110.00000000000001</c:v>
                </c:pt>
                <c:pt idx="2">
                  <c:v>121.00000000000003</c:v>
                </c:pt>
                <c:pt idx="3">
                  <c:v>133.10000000000005</c:v>
                </c:pt>
                <c:pt idx="4">
                  <c:v>146.41000000000008</c:v>
                </c:pt>
              </c:numCache>
            </c:numRef>
          </c:yVal>
          <c:smooth val="0"/>
          <c:extLst>
            <c:ext xmlns:c16="http://schemas.microsoft.com/office/drawing/2014/chart" uri="{C3380CC4-5D6E-409C-BE32-E72D297353CC}">
              <c16:uniqueId val="{00000000-0F13-4591-912E-CC9BB76D3328}"/>
            </c:ext>
          </c:extLst>
        </c:ser>
        <c:ser>
          <c:idx val="1"/>
          <c:order val="1"/>
          <c:tx>
            <c:strRef>
              <c:f>Charts!$K$96</c:f>
              <c:strCache>
                <c:ptCount val="1"/>
                <c:pt idx="0">
                  <c:v>Y2-Values</c:v>
                </c:pt>
              </c:strCache>
            </c:strRef>
          </c:tx>
          <c:spPr>
            <a:ln w="25400" cap="rnd">
              <a:noFill/>
              <a:round/>
            </a:ln>
            <a:effectLst/>
          </c:spPr>
          <c:marker>
            <c:symbol val="circle"/>
            <c:size val="5"/>
            <c:spPr>
              <a:solidFill>
                <a:schemeClr val="accent2"/>
              </a:solidFill>
              <a:ln w="9525">
                <a:solidFill>
                  <a:schemeClr val="accent2"/>
                </a:solidFill>
              </a:ln>
              <a:effectLst/>
            </c:spPr>
          </c:marker>
          <c:xVal>
            <c:numRef>
              <c:f>Charts!$I$97:$I$101</c:f>
              <c:numCache>
                <c:formatCode>0</c:formatCode>
                <c:ptCount val="5"/>
                <c:pt idx="0">
                  <c:v>50</c:v>
                </c:pt>
                <c:pt idx="1">
                  <c:v>45</c:v>
                </c:pt>
                <c:pt idx="2">
                  <c:v>40.5</c:v>
                </c:pt>
                <c:pt idx="3">
                  <c:v>36.450000000000003</c:v>
                </c:pt>
                <c:pt idx="4">
                  <c:v>32.805000000000007</c:v>
                </c:pt>
              </c:numCache>
            </c:numRef>
          </c:xVal>
          <c:yVal>
            <c:numRef>
              <c:f>Charts!$K$97:$K$101</c:f>
              <c:numCache>
                <c:formatCode>0</c:formatCode>
                <c:ptCount val="5"/>
                <c:pt idx="0">
                  <c:v>37.5</c:v>
                </c:pt>
                <c:pt idx="1">
                  <c:v>33.75</c:v>
                </c:pt>
                <c:pt idx="2">
                  <c:v>30.375</c:v>
                </c:pt>
                <c:pt idx="3">
                  <c:v>27.337500000000002</c:v>
                </c:pt>
                <c:pt idx="4">
                  <c:v>24.603750000000002</c:v>
                </c:pt>
              </c:numCache>
            </c:numRef>
          </c:yVal>
          <c:smooth val="0"/>
          <c:extLst>
            <c:ext xmlns:c16="http://schemas.microsoft.com/office/drawing/2014/chart" uri="{C3380CC4-5D6E-409C-BE32-E72D297353CC}">
              <c16:uniqueId val="{00000001-0F13-4591-912E-CC9BB76D3328}"/>
            </c:ext>
          </c:extLst>
        </c:ser>
        <c:dLbls>
          <c:showLegendKey val="0"/>
          <c:showVal val="0"/>
          <c:showCatName val="0"/>
          <c:showSerName val="0"/>
          <c:showPercent val="0"/>
          <c:showBubbleSize val="0"/>
        </c:dLbls>
        <c:axId val="567601056"/>
        <c:axId val="567601384"/>
      </c:scatterChart>
      <c:valAx>
        <c:axId val="567601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97" b="0" i="0" u="none" strike="noStrike" kern="1200" baseline="0">
                <a:solidFill>
                  <a:schemeClr val="tx1">
                    <a:lumMod val="65000"/>
                    <a:lumOff val="35000"/>
                  </a:schemeClr>
                </a:solidFill>
                <a:latin typeface="+mn-lt"/>
                <a:ea typeface="+mn-ea"/>
                <a:cs typeface="+mn-cs"/>
              </a:defRPr>
            </a:pPr>
            <a:endParaRPr lang="en-US"/>
          </a:p>
        </c:txPr>
        <c:crossAx val="567601384"/>
        <c:crosses val="autoZero"/>
        <c:crossBetween val="midCat"/>
      </c:valAx>
      <c:valAx>
        <c:axId val="567601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97" b="0" i="0" u="none" strike="noStrike" kern="1200" baseline="0">
                <a:solidFill>
                  <a:schemeClr val="tx1">
                    <a:lumMod val="65000"/>
                    <a:lumOff val="35000"/>
                  </a:schemeClr>
                </a:solidFill>
                <a:latin typeface="+mn-lt"/>
                <a:ea typeface="+mn-ea"/>
                <a:cs typeface="+mn-cs"/>
              </a:defRPr>
            </a:pPr>
            <a:endParaRPr lang="en-US"/>
          </a:p>
        </c:txPr>
        <c:crossAx val="567601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ofPieChart>
        <c:ofPieType val="pie"/>
        <c:varyColors val="1"/>
        <c:ser>
          <c:idx val="0"/>
          <c:order val="0"/>
          <c:tx>
            <c:strRef>
              <c:f>Charts!$C$82</c:f>
              <c:strCache>
                <c:ptCount val="1"/>
                <c:pt idx="0">
                  <c:v>Slice Size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9E3-491F-9BF8-B2467969DA9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9E3-491F-9BF8-B2467969DA9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9E3-491F-9BF8-B2467969DA9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9E3-491F-9BF8-B2467969DA9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9E3-491F-9BF8-B2467969DA9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9E3-491F-9BF8-B2467969DA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Charts!$B$83:$B$86</c:f>
              <c:strCache>
                <c:ptCount val="4"/>
                <c:pt idx="0">
                  <c:v>Category 1</c:v>
                </c:pt>
                <c:pt idx="1">
                  <c:v>Category 2</c:v>
                </c:pt>
                <c:pt idx="2">
                  <c:v>Category 3</c:v>
                </c:pt>
                <c:pt idx="3">
                  <c:v>Category 4</c:v>
                </c:pt>
              </c:strCache>
            </c:strRef>
          </c:cat>
          <c:val>
            <c:numRef>
              <c:f>Charts!$C$83:$C$86</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484C-46CC-BBDD-0AE6BC978D9D}"/>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Line Chart with Date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Charts!$C$69</c:f>
              <c:strCache>
                <c:ptCount val="1"/>
                <c:pt idx="0">
                  <c:v>Series A</c:v>
                </c:pt>
              </c:strCache>
            </c:strRef>
          </c:tx>
          <c:spPr>
            <a:ln w="28575" cap="rnd">
              <a:solidFill>
                <a:schemeClr val="accent1"/>
              </a:solidFill>
              <a:round/>
            </a:ln>
            <a:effectLst/>
          </c:spPr>
          <c:marker>
            <c:symbol val="none"/>
          </c:marker>
          <c:cat>
            <c:numRef>
              <c:f>Charts!$B$70:$B$73</c:f>
              <c:numCache>
                <c:formatCode>m/d/yyyy</c:formatCode>
                <c:ptCount val="4"/>
                <c:pt idx="0">
                  <c:v>45529.415293287035</c:v>
                </c:pt>
                <c:pt idx="1">
                  <c:v>45530.415293287035</c:v>
                </c:pt>
                <c:pt idx="2">
                  <c:v>45531.415293287035</c:v>
                </c:pt>
                <c:pt idx="3">
                  <c:v>45532.415293287035</c:v>
                </c:pt>
              </c:numCache>
            </c:numRef>
          </c:cat>
          <c:val>
            <c:numRef>
              <c:f>Charts!$C$70:$C$73</c:f>
              <c:numCache>
                <c:formatCode>0</c:formatCode>
                <c:ptCount val="4"/>
                <c:pt idx="0">
                  <c:v>50</c:v>
                </c:pt>
                <c:pt idx="1">
                  <c:v>55.000000000000007</c:v>
                </c:pt>
                <c:pt idx="2">
                  <c:v>60.500000000000014</c:v>
                </c:pt>
                <c:pt idx="3">
                  <c:v>66.550000000000026</c:v>
                </c:pt>
              </c:numCache>
            </c:numRef>
          </c:val>
          <c:smooth val="0"/>
          <c:extLst>
            <c:ext xmlns:c16="http://schemas.microsoft.com/office/drawing/2014/chart" uri="{C3380CC4-5D6E-409C-BE32-E72D297353CC}">
              <c16:uniqueId val="{00000000-8384-4510-A518-5991D2DF4ECE}"/>
            </c:ext>
          </c:extLst>
        </c:ser>
        <c:ser>
          <c:idx val="1"/>
          <c:order val="1"/>
          <c:tx>
            <c:strRef>
              <c:f>Charts!$D$69</c:f>
              <c:strCache>
                <c:ptCount val="1"/>
                <c:pt idx="0">
                  <c:v>Series B</c:v>
                </c:pt>
              </c:strCache>
            </c:strRef>
          </c:tx>
          <c:spPr>
            <a:ln w="28575" cap="rnd">
              <a:solidFill>
                <a:schemeClr val="accent2"/>
              </a:solidFill>
              <a:round/>
            </a:ln>
            <a:effectLst/>
          </c:spPr>
          <c:marker>
            <c:symbol val="none"/>
          </c:marker>
          <c:cat>
            <c:numRef>
              <c:f>Charts!$B$70:$B$73</c:f>
              <c:numCache>
                <c:formatCode>m/d/yyyy</c:formatCode>
                <c:ptCount val="4"/>
                <c:pt idx="0">
                  <c:v>45529.415293287035</c:v>
                </c:pt>
                <c:pt idx="1">
                  <c:v>45530.415293287035</c:v>
                </c:pt>
                <c:pt idx="2">
                  <c:v>45531.415293287035</c:v>
                </c:pt>
                <c:pt idx="3">
                  <c:v>45532.415293287035</c:v>
                </c:pt>
              </c:numCache>
            </c:numRef>
          </c:cat>
          <c:val>
            <c:numRef>
              <c:f>Charts!$D$70:$D$73</c:f>
              <c:numCache>
                <c:formatCode>0</c:formatCode>
                <c:ptCount val="4"/>
                <c:pt idx="0">
                  <c:v>25</c:v>
                </c:pt>
                <c:pt idx="1">
                  <c:v>37.5</c:v>
                </c:pt>
                <c:pt idx="2">
                  <c:v>56.25</c:v>
                </c:pt>
                <c:pt idx="3">
                  <c:v>84.375</c:v>
                </c:pt>
              </c:numCache>
            </c:numRef>
          </c:val>
          <c:smooth val="0"/>
          <c:extLst>
            <c:ext xmlns:c16="http://schemas.microsoft.com/office/drawing/2014/chart" uri="{C3380CC4-5D6E-409C-BE32-E72D297353CC}">
              <c16:uniqueId val="{00000001-8384-4510-A518-5991D2DF4ECE}"/>
            </c:ext>
          </c:extLst>
        </c:ser>
        <c:ser>
          <c:idx val="2"/>
          <c:order val="2"/>
          <c:tx>
            <c:strRef>
              <c:f>Charts!$E$69</c:f>
              <c:strCache>
                <c:ptCount val="1"/>
                <c:pt idx="0">
                  <c:v>Series C</c:v>
                </c:pt>
              </c:strCache>
            </c:strRef>
          </c:tx>
          <c:spPr>
            <a:ln w="28575" cap="rnd">
              <a:solidFill>
                <a:schemeClr val="accent3"/>
              </a:solidFill>
              <a:round/>
            </a:ln>
            <a:effectLst/>
          </c:spPr>
          <c:marker>
            <c:symbol val="none"/>
          </c:marker>
          <c:cat>
            <c:numRef>
              <c:f>Charts!$B$70:$B$73</c:f>
              <c:numCache>
                <c:formatCode>m/d/yyyy</c:formatCode>
                <c:ptCount val="4"/>
                <c:pt idx="0">
                  <c:v>45529.415293287035</c:v>
                </c:pt>
                <c:pt idx="1">
                  <c:v>45530.415293287035</c:v>
                </c:pt>
                <c:pt idx="2">
                  <c:v>45531.415293287035</c:v>
                </c:pt>
                <c:pt idx="3">
                  <c:v>45532.415293287035</c:v>
                </c:pt>
              </c:numCache>
            </c:numRef>
          </c:cat>
          <c:val>
            <c:numRef>
              <c:f>Charts!$E$70:$E$73</c:f>
              <c:numCache>
                <c:formatCode>0</c:formatCode>
                <c:ptCount val="4"/>
                <c:pt idx="0">
                  <c:v>65</c:v>
                </c:pt>
                <c:pt idx="1">
                  <c:v>52</c:v>
                </c:pt>
                <c:pt idx="2">
                  <c:v>41.6</c:v>
                </c:pt>
                <c:pt idx="3">
                  <c:v>33.28</c:v>
                </c:pt>
              </c:numCache>
            </c:numRef>
          </c:val>
          <c:smooth val="0"/>
          <c:extLst>
            <c:ext xmlns:c16="http://schemas.microsoft.com/office/drawing/2014/chart" uri="{C3380CC4-5D6E-409C-BE32-E72D297353CC}">
              <c16:uniqueId val="{00000002-8384-4510-A518-5991D2DF4ECE}"/>
            </c:ext>
          </c:extLst>
        </c:ser>
        <c:dLbls>
          <c:showLegendKey val="0"/>
          <c:showVal val="0"/>
          <c:showCatName val="0"/>
          <c:showSerName val="0"/>
          <c:showPercent val="0"/>
          <c:showBubbleSize val="0"/>
        </c:dLbls>
        <c:smooth val="0"/>
        <c:axId val="1692364176"/>
        <c:axId val="1692371856"/>
      </c:lineChart>
      <c:dateAx>
        <c:axId val="169236417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2371856"/>
        <c:crosses val="autoZero"/>
        <c:auto val="1"/>
        <c:lblOffset val="100"/>
        <c:baseTimeUnit val="days"/>
      </c:dateAx>
      <c:valAx>
        <c:axId val="169237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236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manualLayout>
          <c:layoutTarget val="inner"/>
          <c:xMode val="edge"/>
          <c:yMode val="edge"/>
          <c:x val="0.22589504008431491"/>
          <c:y val="0.19180291304788619"/>
          <c:w val="0.73038913344091749"/>
          <c:h val="0.52750092933662263"/>
        </c:manualLayout>
      </c:layout>
      <c:lineChart>
        <c:grouping val="standard"/>
        <c:varyColors val="0"/>
        <c:ser>
          <c:idx val="0"/>
          <c:order val="0"/>
          <c:tx>
            <c:strRef>
              <c:f>'Chart Img'!$C$18</c:f>
              <c:strCache>
                <c:ptCount val="1"/>
                <c:pt idx="0">
                  <c:v>AnalysisPlace Revenue</c:v>
                </c:pt>
              </c:strCache>
            </c:strRef>
          </c:tx>
          <c:spPr>
            <a:ln w="22225" cap="rnd" cmpd="sng" algn="ctr">
              <a:solidFill>
                <a:schemeClr val="accent1"/>
              </a:solidFill>
              <a:round/>
            </a:ln>
            <a:effectLst/>
          </c:spPr>
          <c:marker>
            <c:symbol val="none"/>
          </c:marker>
          <c:cat>
            <c:numRef>
              <c:f>'Chart Img'!$B$19:$B$23</c:f>
              <c:numCache>
                <c:formatCode>m/d/yyyy</c:formatCode>
                <c:ptCount val="5"/>
                <c:pt idx="0">
                  <c:v>45528</c:v>
                </c:pt>
                <c:pt idx="1">
                  <c:v>45529</c:v>
                </c:pt>
                <c:pt idx="2">
                  <c:v>45530</c:v>
                </c:pt>
                <c:pt idx="3">
                  <c:v>45531</c:v>
                </c:pt>
                <c:pt idx="4">
                  <c:v>45532</c:v>
                </c:pt>
              </c:numCache>
            </c:numRef>
          </c:cat>
          <c:val>
            <c:numRef>
              <c:f>'Chart Img'!$C$19:$C$23</c:f>
              <c:numCache>
                <c:formatCode>"$"#,##0</c:formatCode>
                <c:ptCount val="5"/>
                <c:pt idx="0">
                  <c:v>100000000</c:v>
                </c:pt>
                <c:pt idx="1">
                  <c:v>170000000</c:v>
                </c:pt>
                <c:pt idx="2">
                  <c:v>289000000</c:v>
                </c:pt>
                <c:pt idx="3">
                  <c:v>491300000</c:v>
                </c:pt>
                <c:pt idx="4">
                  <c:v>835210000</c:v>
                </c:pt>
              </c:numCache>
            </c:numRef>
          </c:val>
          <c:smooth val="0"/>
          <c:extLst>
            <c:ext xmlns:c16="http://schemas.microsoft.com/office/drawing/2014/chart" uri="{C3380CC4-5D6E-409C-BE32-E72D297353CC}">
              <c16:uniqueId val="{00000000-61FC-42C4-9F97-B1837AC4ADDD}"/>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97211568"/>
        <c:axId val="597208944"/>
      </c:lineChart>
      <c:dateAx>
        <c:axId val="597211568"/>
        <c:scaling>
          <c:orientation val="minMax"/>
        </c:scaling>
        <c:delete val="0"/>
        <c:axPos val="b"/>
        <c:numFmt formatCode="m/d/yyyy"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597208944"/>
        <c:crosses val="autoZero"/>
        <c:auto val="1"/>
        <c:lblOffset val="100"/>
        <c:baseTimeUnit val="days"/>
      </c:dateAx>
      <c:valAx>
        <c:axId val="597208944"/>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597211568"/>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dispUnitsLbl>
        </c:dispUnits>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accent5">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Img'!$C$18</c:f>
              <c:strCache>
                <c:ptCount val="1"/>
                <c:pt idx="0">
                  <c:v>AnalysisPlace Revenue</c:v>
                </c:pt>
              </c:strCache>
            </c:strRef>
          </c:tx>
          <c:spPr>
            <a:solidFill>
              <a:schemeClr val="accent1">
                <a:alpha val="85000"/>
              </a:schemeClr>
            </a:solidFill>
            <a:ln w="9525" cap="flat" cmpd="sng" algn="ctr">
              <a:solidFill>
                <a:schemeClr val="lt1">
                  <a:alpha val="50000"/>
                </a:schemeClr>
              </a:solidFill>
              <a:round/>
            </a:ln>
            <a:effectLst/>
          </c:spPr>
          <c:invertIfNegative val="0"/>
          <c:cat>
            <c:numRef>
              <c:f>'Chart Img'!$B$19:$B$23</c:f>
              <c:numCache>
                <c:formatCode>m/d/yyyy</c:formatCode>
                <c:ptCount val="5"/>
                <c:pt idx="0">
                  <c:v>45528</c:v>
                </c:pt>
                <c:pt idx="1">
                  <c:v>45529</c:v>
                </c:pt>
                <c:pt idx="2">
                  <c:v>45530</c:v>
                </c:pt>
                <c:pt idx="3">
                  <c:v>45531</c:v>
                </c:pt>
                <c:pt idx="4">
                  <c:v>45532</c:v>
                </c:pt>
              </c:numCache>
            </c:numRef>
          </c:cat>
          <c:val>
            <c:numRef>
              <c:f>'Chart Img'!$C$19:$C$23</c:f>
              <c:numCache>
                <c:formatCode>"$"#,##0</c:formatCode>
                <c:ptCount val="5"/>
                <c:pt idx="0">
                  <c:v>100000000</c:v>
                </c:pt>
                <c:pt idx="1">
                  <c:v>170000000</c:v>
                </c:pt>
                <c:pt idx="2">
                  <c:v>289000000</c:v>
                </c:pt>
                <c:pt idx="3">
                  <c:v>491300000</c:v>
                </c:pt>
                <c:pt idx="4">
                  <c:v>835210000</c:v>
                </c:pt>
              </c:numCache>
            </c:numRef>
          </c:val>
          <c:extLst>
            <c:ext xmlns:c16="http://schemas.microsoft.com/office/drawing/2014/chart" uri="{C3380CC4-5D6E-409C-BE32-E72D297353CC}">
              <c16:uniqueId val="{00000000-5C75-44C1-8442-E2FE8F2AAEEB}"/>
            </c:ext>
          </c:extLst>
        </c:ser>
        <c:dLbls>
          <c:showLegendKey val="0"/>
          <c:showVal val="0"/>
          <c:showCatName val="0"/>
          <c:showSerName val="0"/>
          <c:showPercent val="0"/>
          <c:showBubbleSize val="0"/>
        </c:dLbls>
        <c:gapWidth val="65"/>
        <c:axId val="28162879"/>
        <c:axId val="28157631"/>
      </c:barChart>
      <c:dateAx>
        <c:axId val="28162879"/>
        <c:scaling>
          <c:orientation val="minMax"/>
        </c:scaling>
        <c:delete val="0"/>
        <c:axPos val="b"/>
        <c:numFmt formatCode="m/d/yyyy"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00" b="0" i="0" u="none" strike="noStrike" kern="1200" cap="all" baseline="0">
                <a:solidFill>
                  <a:schemeClr val="dk1">
                    <a:lumMod val="75000"/>
                    <a:lumOff val="25000"/>
                  </a:schemeClr>
                </a:solidFill>
                <a:latin typeface="+mn-lt"/>
                <a:ea typeface="+mn-ea"/>
                <a:cs typeface="+mn-cs"/>
              </a:defRPr>
            </a:pPr>
            <a:endParaRPr lang="en-US"/>
          </a:p>
        </c:txPr>
        <c:crossAx val="28157631"/>
        <c:crosses val="autoZero"/>
        <c:auto val="1"/>
        <c:lblOffset val="100"/>
        <c:baseTimeUnit val="days"/>
      </c:dateAx>
      <c:valAx>
        <c:axId val="28157631"/>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n-lt"/>
                <a:ea typeface="+mn-ea"/>
                <a:cs typeface="+mn-cs"/>
              </a:defRPr>
            </a:pPr>
            <a:endParaRPr lang="en-US"/>
          </a:p>
        </c:txPr>
        <c:crossAx val="28162879"/>
        <c:crosses val="autoZero"/>
        <c:crossBetween val="between"/>
        <c:dispUnits>
          <c:builtInUnit val="millions"/>
          <c:dispUnitsLbl>
            <c:spPr>
              <a:noFill/>
              <a:ln>
                <a:noFill/>
              </a:ln>
              <a:effectLst/>
            </c:spPr>
            <c:txPr>
              <a:bodyPr rot="-5400000" spcFirstLastPara="1" vertOverflow="ellipsis" vert="horz" wrap="square" anchor="ctr" anchorCtr="1"/>
              <a:lstStyle/>
              <a:p>
                <a:pPr>
                  <a:defRPr sz="700" b="1" i="0" u="none" strike="noStrike" kern="1200" baseline="0">
                    <a:solidFill>
                      <a:schemeClr val="dk1">
                        <a:lumMod val="75000"/>
                        <a:lumOff val="2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noFill/>
      <a:round/>
    </a:ln>
    <a:effectLst/>
  </c:spPr>
  <c:txPr>
    <a:bodyPr/>
    <a:lstStyle/>
    <a:p>
      <a:pPr>
        <a:defRPr sz="7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Line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QuickStart!$D$70</c:f>
              <c:strCache>
                <c:ptCount val="1"/>
                <c:pt idx="0">
                  <c:v>Region A</c:v>
                </c:pt>
              </c:strCache>
            </c:strRef>
          </c:tx>
          <c:spPr>
            <a:ln w="28575" cap="rnd">
              <a:solidFill>
                <a:schemeClr val="accent1"/>
              </a:solidFill>
              <a:round/>
            </a:ln>
            <a:effectLst/>
          </c:spPr>
          <c:marker>
            <c:symbol val="none"/>
          </c:marker>
          <c:cat>
            <c:numRef>
              <c:f>QuickStart!$C$71:$C$74</c:f>
              <c:numCache>
                <c:formatCode>General</c:formatCode>
                <c:ptCount val="4"/>
                <c:pt idx="0">
                  <c:v>2021</c:v>
                </c:pt>
                <c:pt idx="1">
                  <c:v>2022</c:v>
                </c:pt>
                <c:pt idx="2">
                  <c:v>2023</c:v>
                </c:pt>
                <c:pt idx="3">
                  <c:v>2024</c:v>
                </c:pt>
              </c:numCache>
            </c:numRef>
          </c:cat>
          <c:val>
            <c:numRef>
              <c:f>QuickStart!$D$71:$D$74</c:f>
              <c:numCache>
                <c:formatCode>0</c:formatCode>
                <c:ptCount val="4"/>
                <c:pt idx="0">
                  <c:v>100</c:v>
                </c:pt>
                <c:pt idx="1">
                  <c:v>80</c:v>
                </c:pt>
                <c:pt idx="2">
                  <c:v>64</c:v>
                </c:pt>
                <c:pt idx="3">
                  <c:v>51.2</c:v>
                </c:pt>
              </c:numCache>
            </c:numRef>
          </c:val>
          <c:smooth val="0"/>
          <c:extLst>
            <c:ext xmlns:c16="http://schemas.microsoft.com/office/drawing/2014/chart" uri="{C3380CC4-5D6E-409C-BE32-E72D297353CC}">
              <c16:uniqueId val="{00000000-F988-4E11-91F8-460B2C59F2AF}"/>
            </c:ext>
          </c:extLst>
        </c:ser>
        <c:ser>
          <c:idx val="1"/>
          <c:order val="1"/>
          <c:tx>
            <c:strRef>
              <c:f>QuickStart!$E$70</c:f>
              <c:strCache>
                <c:ptCount val="1"/>
                <c:pt idx="0">
                  <c:v>Region B</c:v>
                </c:pt>
              </c:strCache>
            </c:strRef>
          </c:tx>
          <c:spPr>
            <a:ln w="28575" cap="rnd">
              <a:solidFill>
                <a:schemeClr val="accent2"/>
              </a:solidFill>
              <a:round/>
            </a:ln>
            <a:effectLst/>
          </c:spPr>
          <c:marker>
            <c:symbol val="none"/>
          </c:marker>
          <c:cat>
            <c:numRef>
              <c:f>QuickStart!$C$71:$C$74</c:f>
              <c:numCache>
                <c:formatCode>General</c:formatCode>
                <c:ptCount val="4"/>
                <c:pt idx="0">
                  <c:v>2021</c:v>
                </c:pt>
                <c:pt idx="1">
                  <c:v>2022</c:v>
                </c:pt>
                <c:pt idx="2">
                  <c:v>2023</c:v>
                </c:pt>
                <c:pt idx="3">
                  <c:v>2024</c:v>
                </c:pt>
              </c:numCache>
            </c:numRef>
          </c:cat>
          <c:val>
            <c:numRef>
              <c:f>QuickStart!$E$71:$E$74</c:f>
              <c:numCache>
                <c:formatCode>0</c:formatCode>
                <c:ptCount val="4"/>
                <c:pt idx="0">
                  <c:v>50</c:v>
                </c:pt>
                <c:pt idx="1">
                  <c:v>60</c:v>
                </c:pt>
                <c:pt idx="2">
                  <c:v>72</c:v>
                </c:pt>
                <c:pt idx="3">
                  <c:v>86.399999999999991</c:v>
                </c:pt>
              </c:numCache>
            </c:numRef>
          </c:val>
          <c:smooth val="0"/>
          <c:extLst>
            <c:ext xmlns:c16="http://schemas.microsoft.com/office/drawing/2014/chart" uri="{C3380CC4-5D6E-409C-BE32-E72D297353CC}">
              <c16:uniqueId val="{00000001-F988-4E11-91F8-460B2C59F2AF}"/>
            </c:ext>
          </c:extLst>
        </c:ser>
        <c:ser>
          <c:idx val="2"/>
          <c:order val="2"/>
          <c:tx>
            <c:strRef>
              <c:f>QuickStart!$F$70</c:f>
              <c:strCache>
                <c:ptCount val="1"/>
                <c:pt idx="0">
                  <c:v>Region C</c:v>
                </c:pt>
              </c:strCache>
            </c:strRef>
          </c:tx>
          <c:spPr>
            <a:ln w="28575" cap="rnd">
              <a:solidFill>
                <a:schemeClr val="accent3"/>
              </a:solidFill>
              <a:round/>
            </a:ln>
            <a:effectLst/>
          </c:spPr>
          <c:marker>
            <c:symbol val="none"/>
          </c:marker>
          <c:cat>
            <c:numRef>
              <c:f>QuickStart!$C$71:$C$74</c:f>
              <c:numCache>
                <c:formatCode>General</c:formatCode>
                <c:ptCount val="4"/>
                <c:pt idx="0">
                  <c:v>2021</c:v>
                </c:pt>
                <c:pt idx="1">
                  <c:v>2022</c:v>
                </c:pt>
                <c:pt idx="2">
                  <c:v>2023</c:v>
                </c:pt>
                <c:pt idx="3">
                  <c:v>2024</c:v>
                </c:pt>
              </c:numCache>
            </c:numRef>
          </c:cat>
          <c:val>
            <c:numRef>
              <c:f>QuickStart!$F$71:$F$74</c:f>
              <c:numCache>
                <c:formatCode>0</c:formatCode>
                <c:ptCount val="4"/>
                <c:pt idx="0">
                  <c:v>150</c:v>
                </c:pt>
                <c:pt idx="1">
                  <c:v>165</c:v>
                </c:pt>
                <c:pt idx="2">
                  <c:v>181.50000000000003</c:v>
                </c:pt>
                <c:pt idx="3">
                  <c:v>199.65000000000003</c:v>
                </c:pt>
              </c:numCache>
            </c:numRef>
          </c:val>
          <c:smooth val="0"/>
          <c:extLst>
            <c:ext xmlns:c16="http://schemas.microsoft.com/office/drawing/2014/chart" uri="{C3380CC4-5D6E-409C-BE32-E72D297353CC}">
              <c16:uniqueId val="{00000002-F988-4E11-91F8-460B2C59F2AF}"/>
            </c:ext>
          </c:extLst>
        </c:ser>
        <c:dLbls>
          <c:showLegendKey val="0"/>
          <c:showVal val="0"/>
          <c:showCatName val="0"/>
          <c:showSerName val="0"/>
          <c:showPercent val="0"/>
          <c:showBubbleSize val="0"/>
        </c:dLbls>
        <c:smooth val="0"/>
        <c:axId val="283006064"/>
        <c:axId val="283006544"/>
      </c:lineChart>
      <c:catAx>
        <c:axId val="28300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3006544"/>
        <c:crosses val="autoZero"/>
        <c:auto val="1"/>
        <c:lblAlgn val="ctr"/>
        <c:lblOffset val="100"/>
        <c:noMultiLvlLbl val="0"/>
      </c:catAx>
      <c:valAx>
        <c:axId val="28300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300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'Sel Img'!$A$1:$D$1</c:f>
              <c:strCache>
                <c:ptCount val="4"/>
                <c:pt idx="0">
                  <c:v>Select/Update an Image, Based on Cell Value/Formula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293-472A-8ACB-D547A3DA24F4}"/>
              </c:ext>
            </c:extLst>
          </c:dPt>
          <c:val>
            <c:numRef>
              <c:f>'Sel Img'!$E$1:$J$1</c:f>
              <c:numCache>
                <c:formatCode>General</c:formatCode>
                <c:ptCount val="6"/>
              </c:numCache>
            </c:numRef>
          </c:val>
          <c:extLst>
            <c:ext xmlns:c16="http://schemas.microsoft.com/office/drawing/2014/chart" uri="{C3380CC4-5D6E-409C-BE32-E72D297353CC}">
              <c16:uniqueId val="{00000000-74BC-41B8-BF09-2480A874B0D1}"/>
            </c:ext>
          </c:extLst>
        </c:ser>
        <c:ser>
          <c:idx val="1"/>
          <c:order val="1"/>
          <c:tx>
            <c:strRef>
              <c:f>'Sel Img'!$A$2:$D$2</c:f>
              <c:strCache>
                <c:ptCount val="4"/>
                <c:pt idx="0">
                  <c:v>Select/Update an Image, Based on Cell Value/Formula</c:v>
                </c:pt>
                <c:pt idx="1">
                  <c:v>This page shows several methods that can be used to select an image (then submit/update), based on formulas and logic.
This technique is commonly used to display product images based on selected/configured solution or people photos.
Depending on your need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1-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3-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5-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B293-472A-8ACB-D547A3DA24F4}"/>
              </c:ext>
            </c:extLst>
          </c:dPt>
          <c:val>
            <c:numRef>
              <c:f>'Sel Img'!$E$2:$J$2</c:f>
              <c:numCache>
                <c:formatCode>General</c:formatCode>
                <c:ptCount val="6"/>
              </c:numCache>
            </c:numRef>
          </c:val>
          <c:extLst>
            <c:ext xmlns:c16="http://schemas.microsoft.com/office/drawing/2014/chart" uri="{C3380CC4-5D6E-409C-BE32-E72D297353CC}">
              <c16:uniqueId val="{00000001-74BC-41B8-BF09-2480A874B0D1}"/>
            </c:ext>
          </c:extLst>
        </c:ser>
        <c:ser>
          <c:idx val="2"/>
          <c:order val="2"/>
          <c:tx>
            <c:strRef>
              <c:f>'Sel Img'!$A$5:$D$5</c:f>
              <c:strCache>
                <c:ptCount val="4"/>
                <c:pt idx="0">
                  <c:v>Dynamic Range Method</c:v>
                </c:pt>
                <c:pt idx="1">
                  <c:v>Select a country from the the drop-down list. The flag of the selected country will appear below and that image will appear in the Word/PowerPoint document after the update. This technique can be used to select/update any image, such as product or user ph</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F-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1-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3-B293-472A-8ACB-D547A3DA24F4}"/>
              </c:ext>
            </c:extLst>
          </c:dPt>
          <c:val>
            <c:numRef>
              <c:f>'Sel Img'!$E$5:$J$5</c:f>
              <c:numCache>
                <c:formatCode>General</c:formatCode>
                <c:ptCount val="6"/>
              </c:numCache>
            </c:numRef>
          </c:val>
          <c:extLst>
            <c:ext xmlns:c16="http://schemas.microsoft.com/office/drawing/2014/chart" uri="{C3380CC4-5D6E-409C-BE32-E72D297353CC}">
              <c16:uniqueId val="{00000002-74BC-41B8-BF09-2480A874B0D1}"/>
            </c:ext>
          </c:extLst>
        </c:ser>
        <c:ser>
          <c:idx val="3"/>
          <c:order val="3"/>
          <c:tx>
            <c:strRef>
              <c:f>'Sel Img'!$A$6:$D$6</c:f>
              <c:strCache>
                <c:ptCount val="4"/>
                <c:pt idx="0">
                  <c:v>Dynamic Range Method</c:v>
                </c:pt>
                <c:pt idx="1">
                  <c:v>Caution: Due to a bug in Office, scrolling down the page will often result in incorrect offsetting of the image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5-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7-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9-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B-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D-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F-B293-472A-8ACB-D547A3DA24F4}"/>
              </c:ext>
            </c:extLst>
          </c:dPt>
          <c:val>
            <c:numRef>
              <c:f>'Sel Img'!$E$6:$J$6</c:f>
              <c:numCache>
                <c:formatCode>General</c:formatCode>
                <c:ptCount val="6"/>
              </c:numCache>
            </c:numRef>
          </c:val>
          <c:extLst>
            <c:ext xmlns:c16="http://schemas.microsoft.com/office/drawing/2014/chart" uri="{C3380CC4-5D6E-409C-BE32-E72D297353CC}">
              <c16:uniqueId val="{00000003-74BC-41B8-BF09-2480A874B0D1}"/>
            </c:ext>
          </c:extLst>
        </c:ser>
        <c:ser>
          <c:idx val="4"/>
          <c:order val="4"/>
          <c:tx>
            <c:strRef>
              <c:f>'Sel Img'!$A$7:$D$7</c:f>
              <c:strCache>
                <c:ptCount val="4"/>
                <c:pt idx="0">
                  <c:v>Dynamic Range Method</c:v>
                </c:pt>
                <c:pt idx="1">
                  <c:v>Select Country:</c:v>
                </c:pt>
                <c:pt idx="2">
                  <c:v>Albania</c:v>
                </c:pt>
                <c:pt idx="3">
                  <c:v>r_CountryFlag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1-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3-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5-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7-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9-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B-B293-472A-8ACB-D547A3DA24F4}"/>
              </c:ext>
            </c:extLst>
          </c:dPt>
          <c:val>
            <c:numRef>
              <c:f>'Sel Img'!$E$7:$J$7</c:f>
              <c:numCache>
                <c:formatCode>General</c:formatCode>
                <c:ptCount val="6"/>
              </c:numCache>
            </c:numRef>
          </c:val>
          <c:extLst>
            <c:ext xmlns:c16="http://schemas.microsoft.com/office/drawing/2014/chart" uri="{C3380CC4-5D6E-409C-BE32-E72D297353CC}">
              <c16:uniqueId val="{00000004-74BC-41B8-BF09-2480A874B0D1}"/>
            </c:ext>
          </c:extLst>
        </c:ser>
        <c:ser>
          <c:idx val="5"/>
          <c:order val="5"/>
          <c:tx>
            <c:strRef>
              <c:f>'Sel Img'!$A$8:$D$8</c:f>
              <c:strCache>
                <c:ptCount val="4"/>
                <c:pt idx="0">
                  <c:v>Dynamic Range Method</c:v>
                </c:pt>
                <c:pt idx="1">
                  <c:v>2</c:v>
                </c:pt>
                <c:pt idx="2">
                  <c:v>Albania</c:v>
                </c:pt>
                <c:pt idx="3">
                  <c:v>r_Flag_img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D-B293-472A-8ACB-D547A3DA24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F-B293-472A-8ACB-D547A3DA24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1-B293-472A-8ACB-D547A3DA24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3-B293-472A-8ACB-D547A3DA24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5-B293-472A-8ACB-D547A3DA24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7-B293-472A-8ACB-D547A3DA24F4}"/>
              </c:ext>
            </c:extLst>
          </c:dPt>
          <c:val>
            <c:numRef>
              <c:f>'Sel Img'!$E$8:$J$8</c:f>
              <c:numCache>
                <c:formatCode>General</c:formatCode>
                <c:ptCount val="6"/>
              </c:numCache>
            </c:numRef>
          </c:val>
          <c:extLst>
            <c:ext xmlns:c16="http://schemas.microsoft.com/office/drawing/2014/chart" uri="{C3380CC4-5D6E-409C-BE32-E72D297353CC}">
              <c16:uniqueId val="{00000005-74BC-41B8-BF09-2480A874B0D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Savings Comparison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'Mail Merge'!$B$17:$B$19</c:f>
              <c:strCache>
                <c:ptCount val="3"/>
                <c:pt idx="0">
                  <c:v>Our Savings</c:v>
                </c:pt>
                <c:pt idx="1">
                  <c:v>Competitor Savings</c:v>
                </c:pt>
                <c:pt idx="2">
                  <c:v>Solution Cost</c:v>
                </c:pt>
              </c:strCache>
            </c:strRef>
          </c:cat>
          <c:val>
            <c:numRef>
              <c:f>'Mail Merge'!$D$17:$D$19</c:f>
              <c:numCache>
                <c:formatCode>_("$"* #,##0.0_);_("$"* \(#,##0.0\);_("$"* "-"??_);_(@_)</c:formatCode>
                <c:ptCount val="3"/>
                <c:pt idx="0">
                  <c:v>350.61</c:v>
                </c:pt>
                <c:pt idx="1">
                  <c:v>113.1</c:v>
                </c:pt>
                <c:pt idx="2">
                  <c:v>75.400000000000006</c:v>
                </c:pt>
              </c:numCache>
            </c:numRef>
          </c:val>
          <c:extLst>
            <c:ext xmlns:c16="http://schemas.microsoft.com/office/drawing/2014/chart" uri="{C3380CC4-5D6E-409C-BE32-E72D297353CC}">
              <c16:uniqueId val="{00000000-E16D-4BCA-9133-86308D948DA6}"/>
            </c:ext>
          </c:extLst>
        </c:ser>
        <c:dLbls>
          <c:dLblPos val="inEnd"/>
          <c:showLegendKey val="0"/>
          <c:showVal val="1"/>
          <c:showCatName val="0"/>
          <c:showSerName val="0"/>
          <c:showPercent val="0"/>
          <c:showBubbleSize val="0"/>
        </c:dLbls>
        <c:gapWidth val="65"/>
        <c:axId val="1421900712"/>
        <c:axId val="1421901040"/>
      </c:barChart>
      <c:catAx>
        <c:axId val="142190071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0" i="0" u="none" strike="noStrike" kern="1200" cap="all" baseline="0">
                <a:solidFill>
                  <a:schemeClr val="dk1">
                    <a:lumMod val="75000"/>
                    <a:lumOff val="25000"/>
                  </a:schemeClr>
                </a:solidFill>
                <a:latin typeface="+mn-lt"/>
                <a:ea typeface="+mn-ea"/>
                <a:cs typeface="+mn-cs"/>
              </a:defRPr>
            </a:pPr>
            <a:endParaRPr lang="en-US"/>
          </a:p>
        </c:txPr>
        <c:crossAx val="1421901040"/>
        <c:crosses val="autoZero"/>
        <c:auto val="1"/>
        <c:lblAlgn val="ctr"/>
        <c:lblOffset val="100"/>
        <c:noMultiLvlLbl val="0"/>
      </c:catAx>
      <c:valAx>
        <c:axId val="1421901040"/>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en-US"/>
                  <a:t>Billions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crossAx val="142190071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sz="1400"/>
            </a:pPr>
            <a:r>
              <a:rPr lang="en-US" sz="1400"/>
              <a:t>Costs Vs Benefits</a:t>
            </a:r>
          </a:p>
        </c:rich>
      </c:tx>
      <c:overlay val="0"/>
    </c:title>
    <c:autoTitleDeleted val="0"/>
    <c:plotArea>
      <c:layout>
        <c:manualLayout>
          <c:layoutTarget val="inner"/>
          <c:xMode val="edge"/>
          <c:yMode val="edge"/>
          <c:x val="0.26125703483779966"/>
          <c:y val="0.17859480712321318"/>
          <c:w val="0.67636236972282882"/>
          <c:h val="0.6237328899624599"/>
        </c:manualLayout>
      </c:layout>
      <c:barChart>
        <c:barDir val="col"/>
        <c:grouping val="stacked"/>
        <c:varyColors val="0"/>
        <c:ser>
          <c:idx val="0"/>
          <c:order val="0"/>
          <c:tx>
            <c:strRef>
              <c:f>Currency!$E$15</c:f>
              <c:strCache>
                <c:ptCount val="1"/>
                <c:pt idx="0">
                  <c:v>Project Total</c:v>
                </c:pt>
              </c:strCache>
            </c:strRef>
          </c:tx>
          <c:invertIfNegative val="0"/>
          <c:dPt>
            <c:idx val="0"/>
            <c:invertIfNegative val="0"/>
            <c:bubble3D val="0"/>
            <c:spPr>
              <a:gradFill rotWithShape="1">
                <a:gsLst>
                  <a:gs pos="0">
                    <a:srgbClr val="FFC000">
                      <a:shade val="51000"/>
                      <a:satMod val="130000"/>
                    </a:srgbClr>
                  </a:gs>
                  <a:gs pos="80000">
                    <a:srgbClr val="FFC000">
                      <a:shade val="93000"/>
                      <a:satMod val="130000"/>
                    </a:srgbClr>
                  </a:gs>
                  <a:gs pos="100000">
                    <a:srgbClr val="FFC000">
                      <a:shade val="94000"/>
                      <a:satMod val="135000"/>
                    </a:srgbClr>
                  </a:gs>
                </a:gsLst>
                <a:lin ang="16200000" scaled="0"/>
              </a:gradFill>
              <a:ln w="9525" cap="flat" cmpd="sng" algn="ctr">
                <a:solidFill>
                  <a:srgbClr val="FFC000">
                    <a:shade val="95000"/>
                    <a:satMod val="105000"/>
                  </a:srgb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674F-4E7C-A8C7-E916CD9A380D}"/>
              </c:ext>
            </c:extLst>
          </c:dPt>
          <c:dPt>
            <c:idx val="1"/>
            <c:invertIfNegative val="0"/>
            <c:bubble3D val="0"/>
            <c:spPr>
              <a:gradFill flip="none" rotWithShape="1">
                <a:gsLst>
                  <a:gs pos="0">
                    <a:srgbClr val="70AD47">
                      <a:lumMod val="75000"/>
                      <a:shade val="30000"/>
                      <a:satMod val="115000"/>
                    </a:srgbClr>
                  </a:gs>
                  <a:gs pos="50000">
                    <a:srgbClr val="70AD47">
                      <a:lumMod val="75000"/>
                      <a:shade val="67500"/>
                      <a:satMod val="115000"/>
                    </a:srgbClr>
                  </a:gs>
                  <a:gs pos="100000">
                    <a:srgbClr val="70AD47">
                      <a:lumMod val="75000"/>
                      <a:shade val="100000"/>
                      <a:satMod val="115000"/>
                    </a:srgbClr>
                  </a:gs>
                </a:gsLst>
                <a:lin ang="16200000" scaled="1"/>
                <a:tileRect/>
              </a:gradFill>
              <a:ln w="9525" cap="flat" cmpd="sng" algn="ctr">
                <a:solidFill>
                  <a:srgbClr val="70AD47">
                    <a:shade val="95000"/>
                    <a:satMod val="105000"/>
                  </a:srgb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0-674F-4E7C-A8C7-E916CD9A380D}"/>
              </c:ext>
            </c:extLst>
          </c:dPt>
          <c:dLbls>
            <c:numFmt formatCode="#,##0" sourceLinked="0"/>
            <c:spPr>
              <a:solidFill>
                <a:srgbClr val="FFFFFF">
                  <a:alpha val="50196"/>
                </a:srgbClr>
              </a:solidFill>
              <a:ln>
                <a:noFill/>
              </a:ln>
              <a:effectLst/>
            </c:spPr>
            <c:txPr>
              <a:bodyPr wrap="square" lIns="38100" tIns="19050" rIns="38100" bIns="19050" anchor="ctr">
                <a:spAutoFit/>
              </a:bodyPr>
              <a:lstStyle/>
              <a:p>
                <a:pPr>
                  <a:defRPr>
                    <a:solidFill>
                      <a:schemeClr val="tx1">
                        <a:lumMod val="75000"/>
                      </a:schemeClr>
                    </a:solidFill>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Currency!$B$16:$B$17</c:f>
              <c:strCache>
                <c:ptCount val="2"/>
                <c:pt idx="0">
                  <c:v>Total Investment</c:v>
                </c:pt>
                <c:pt idx="1">
                  <c:v>Total Benefits</c:v>
                </c:pt>
              </c:strCache>
            </c:strRef>
          </c:cat>
          <c:val>
            <c:numRef>
              <c:f>Currency!$E$16:$E$17</c:f>
              <c:numCache>
                <c:formatCode>#,##0</c:formatCode>
                <c:ptCount val="2"/>
                <c:pt idx="0">
                  <c:v>188.148</c:v>
                </c:pt>
                <c:pt idx="1">
                  <c:v>399.81450000000001</c:v>
                </c:pt>
              </c:numCache>
            </c:numRef>
          </c:val>
          <c:extLst>
            <c:ext xmlns:c16="http://schemas.microsoft.com/office/drawing/2014/chart" uri="{C3380CC4-5D6E-409C-BE32-E72D297353CC}">
              <c16:uniqueId val="{00000000-97C8-4C12-9A51-F4408D5E3CC5}"/>
            </c:ext>
          </c:extLst>
        </c:ser>
        <c:dLbls>
          <c:dLblPos val="ctr"/>
          <c:showLegendKey val="0"/>
          <c:showVal val="1"/>
          <c:showCatName val="0"/>
          <c:showSerName val="0"/>
          <c:showPercent val="0"/>
          <c:showBubbleSize val="0"/>
        </c:dLbls>
        <c:gapWidth val="24"/>
        <c:overlap val="100"/>
        <c:axId val="557260976"/>
        <c:axId val="582184224"/>
      </c:barChart>
      <c:catAx>
        <c:axId val="557260976"/>
        <c:scaling>
          <c:orientation val="minMax"/>
        </c:scaling>
        <c:delete val="0"/>
        <c:axPos val="b"/>
        <c:numFmt formatCode="General" sourceLinked="0"/>
        <c:majorTickMark val="out"/>
        <c:minorTickMark val="none"/>
        <c:tickLblPos val="nextTo"/>
        <c:txPr>
          <a:bodyPr/>
          <a:lstStyle/>
          <a:p>
            <a:pPr>
              <a:defRPr sz="1000"/>
            </a:pPr>
            <a:endParaRPr lang="en-US"/>
          </a:p>
        </c:txPr>
        <c:crossAx val="582184224"/>
        <c:crosses val="autoZero"/>
        <c:auto val="1"/>
        <c:lblAlgn val="ctr"/>
        <c:lblOffset val="100"/>
        <c:noMultiLvlLbl val="0"/>
      </c:catAx>
      <c:valAx>
        <c:axId val="582184224"/>
        <c:scaling>
          <c:orientation val="minMax"/>
        </c:scaling>
        <c:delete val="0"/>
        <c:axPos val="l"/>
        <c:majorGridlines/>
        <c:title>
          <c:tx>
            <c:strRef>
              <c:f>Currency!$I$23</c:f>
              <c:strCache>
                <c:ptCount val="1"/>
                <c:pt idx="0">
                  <c:v>Euro (€)</c:v>
                </c:pt>
              </c:strCache>
            </c:strRef>
          </c:tx>
          <c:overlay val="0"/>
          <c:txPr>
            <a:bodyPr/>
            <a:lstStyle/>
            <a:p>
              <a:pPr>
                <a:defRPr sz="1200"/>
              </a:pPr>
              <a:endParaRPr lang="en-US"/>
            </a:p>
          </c:txPr>
        </c:title>
        <c:numFmt formatCode="#,##0" sourceLinked="0"/>
        <c:majorTickMark val="out"/>
        <c:minorTickMark val="none"/>
        <c:tickLblPos val="nextTo"/>
        <c:crossAx val="557260976"/>
        <c:crosses val="autoZero"/>
        <c:crossBetween val="between"/>
      </c:valAx>
    </c:plotArea>
    <c:plotVisOnly val="0"/>
    <c:dispBlanksAs val="gap"/>
    <c:showDLblsOverMax val="0"/>
  </c:chart>
  <c:spPr>
    <a:gradFill rotWithShape="1">
      <a:gsLst>
        <a:gs pos="0">
          <a:srgbClr val="9E9EA2">
            <a:tint val="50000"/>
            <a:satMod val="300000"/>
          </a:srgbClr>
        </a:gs>
        <a:gs pos="35000">
          <a:srgbClr val="9E9EA2">
            <a:tint val="37000"/>
            <a:satMod val="300000"/>
          </a:srgbClr>
        </a:gs>
        <a:gs pos="100000">
          <a:srgbClr val="9E9EA2">
            <a:tint val="15000"/>
            <a:satMod val="350000"/>
          </a:srgbClr>
        </a:gs>
      </a:gsLst>
      <a:lin ang="16200000" scaled="1"/>
    </a:gradFill>
    <a:ln w="9525" cap="flat" cmpd="sng" algn="ctr">
      <a:noFill/>
      <a:prstDash val="solid"/>
    </a:ln>
    <a:effectLst/>
  </c:spPr>
  <c:txPr>
    <a:bodyPr/>
    <a:lstStyle/>
    <a:p>
      <a:pPr>
        <a:defRPr>
          <a:solidFill>
            <a:srgbClr val="58585B"/>
          </a:solidFill>
          <a:latin typeface="+mn-lt"/>
          <a:ea typeface="+mn-ea"/>
          <a:cs typeface="+mn-cs"/>
        </a:defRPr>
      </a:pPr>
      <a:endParaRPr lang="en-US"/>
    </a:p>
  </c:txPr>
  <c:printSettings>
    <c:headerFooter/>
    <c:pageMargins b="0.75" l="0.7" r="0.7" t="0.75" header="0.3" footer="0.3"/>
    <c:pageSetup paperSize="0" orientation="landscape" horizontalDpi="0" verticalDpi="0" copies="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Language!$H$26</c:f>
          <c:strCache>
            <c:ptCount val="1"/>
            <c:pt idx="0">
              <c:v>Costos vs beneficios</c:v>
            </c:pt>
          </c:strCache>
        </c:strRef>
      </c:tx>
      <c:overlay val="0"/>
      <c:txPr>
        <a:bodyPr/>
        <a:lstStyle/>
        <a:p>
          <a:pPr>
            <a:defRPr sz="1400"/>
          </a:pPr>
          <a:endParaRPr lang="en-US"/>
        </a:p>
      </c:txPr>
    </c:title>
    <c:autoTitleDeleted val="0"/>
    <c:plotArea>
      <c:layout>
        <c:manualLayout>
          <c:layoutTarget val="inner"/>
          <c:xMode val="edge"/>
          <c:yMode val="edge"/>
          <c:x val="0.27643792098803183"/>
          <c:y val="0.17859480712321318"/>
          <c:w val="0.63529155942885784"/>
          <c:h val="0.6237328899624599"/>
        </c:manualLayout>
      </c:layout>
      <c:barChart>
        <c:barDir val="col"/>
        <c:grouping val="stacked"/>
        <c:varyColors val="0"/>
        <c:ser>
          <c:idx val="0"/>
          <c:order val="0"/>
          <c:tx>
            <c:strRef>
              <c:f>Language!$F$19</c:f>
              <c:strCache>
                <c:ptCount val="1"/>
                <c:pt idx="0">
                  <c:v>Total del proyecto</c:v>
                </c:pt>
              </c:strCache>
            </c:strRef>
          </c:tx>
          <c:invertIfNegative val="0"/>
          <c:dPt>
            <c:idx val="1"/>
            <c:invertIfNegative val="0"/>
            <c:bubble3D val="0"/>
            <c:spPr>
              <a:gradFill flip="none" rotWithShape="1">
                <a:gsLst>
                  <a:gs pos="0">
                    <a:srgbClr val="70AD47">
                      <a:lumMod val="75000"/>
                      <a:shade val="30000"/>
                      <a:satMod val="115000"/>
                    </a:srgbClr>
                  </a:gs>
                  <a:gs pos="50000">
                    <a:srgbClr val="70AD47">
                      <a:lumMod val="75000"/>
                      <a:shade val="67500"/>
                      <a:satMod val="115000"/>
                    </a:srgbClr>
                  </a:gs>
                  <a:gs pos="100000">
                    <a:srgbClr val="70AD47">
                      <a:lumMod val="75000"/>
                      <a:shade val="100000"/>
                      <a:satMod val="115000"/>
                    </a:srgbClr>
                  </a:gs>
                </a:gsLst>
                <a:lin ang="16200000" scaled="1"/>
                <a:tileRect/>
              </a:gradFill>
            </c:spPr>
            <c:extLst>
              <c:ext xmlns:c16="http://schemas.microsoft.com/office/drawing/2014/chart" uri="{C3380CC4-5D6E-409C-BE32-E72D297353CC}">
                <c16:uniqueId val="{00000003-C189-433E-BA4F-56394472409C}"/>
              </c:ext>
            </c:extLst>
          </c:dPt>
          <c:dLbls>
            <c:numFmt formatCode="#,##0" sourceLinked="0"/>
            <c:spPr>
              <a:solidFill>
                <a:srgbClr val="FFFFFF">
                  <a:alpha val="50196"/>
                </a:srgbClr>
              </a:solidFill>
              <a:ln>
                <a:noFill/>
              </a:ln>
              <a:effectLst/>
            </c:spPr>
            <c:txPr>
              <a:bodyPr wrap="square" lIns="38100" tIns="19050" rIns="38100" bIns="19050" anchor="ctr">
                <a:spAutoFit/>
              </a:bodyPr>
              <a:lstStyle/>
              <a:p>
                <a:pPr>
                  <a:defRPr>
                    <a:solidFill>
                      <a:schemeClr val="tx1">
                        <a:lumMod val="75000"/>
                      </a:schemeClr>
                    </a:solidFill>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Language!$C$20:$C$21</c:f>
              <c:strCache>
                <c:ptCount val="2"/>
                <c:pt idx="0">
                  <c:v>Inversión total</c:v>
                </c:pt>
                <c:pt idx="1">
                  <c:v>Total de beneficios</c:v>
                </c:pt>
              </c:strCache>
            </c:strRef>
          </c:cat>
          <c:val>
            <c:numRef>
              <c:f>Language!$F$20:$F$21</c:f>
              <c:numCache>
                <c:formatCode>0.00</c:formatCode>
                <c:ptCount val="2"/>
                <c:pt idx="0">
                  <c:v>176.99700000000001</c:v>
                </c:pt>
                <c:pt idx="1">
                  <c:v>376.11862500000001</c:v>
                </c:pt>
              </c:numCache>
            </c:numRef>
          </c:val>
          <c:extLst>
            <c:ext xmlns:c16="http://schemas.microsoft.com/office/drawing/2014/chart" uri="{C3380CC4-5D6E-409C-BE32-E72D297353CC}">
              <c16:uniqueId val="{00000004-C189-433E-BA4F-56394472409C}"/>
            </c:ext>
          </c:extLst>
        </c:ser>
        <c:dLbls>
          <c:dLblPos val="ctr"/>
          <c:showLegendKey val="0"/>
          <c:showVal val="1"/>
          <c:showCatName val="0"/>
          <c:showSerName val="0"/>
          <c:showPercent val="0"/>
          <c:showBubbleSize val="0"/>
        </c:dLbls>
        <c:gapWidth val="24"/>
        <c:overlap val="100"/>
        <c:axId val="557260976"/>
        <c:axId val="582184224"/>
      </c:barChart>
      <c:catAx>
        <c:axId val="557260976"/>
        <c:scaling>
          <c:orientation val="minMax"/>
        </c:scaling>
        <c:delete val="0"/>
        <c:axPos val="b"/>
        <c:numFmt formatCode="General" sourceLinked="0"/>
        <c:majorTickMark val="out"/>
        <c:minorTickMark val="none"/>
        <c:tickLblPos val="nextTo"/>
        <c:txPr>
          <a:bodyPr/>
          <a:lstStyle/>
          <a:p>
            <a:pPr>
              <a:defRPr sz="1000"/>
            </a:pPr>
            <a:endParaRPr lang="en-US"/>
          </a:p>
        </c:txPr>
        <c:crossAx val="582184224"/>
        <c:crosses val="autoZero"/>
        <c:auto val="1"/>
        <c:lblAlgn val="ctr"/>
        <c:lblOffset val="100"/>
        <c:noMultiLvlLbl val="0"/>
      </c:catAx>
      <c:valAx>
        <c:axId val="582184224"/>
        <c:scaling>
          <c:orientation val="minMax"/>
        </c:scaling>
        <c:delete val="0"/>
        <c:axPos val="l"/>
        <c:majorGridlines/>
        <c:title>
          <c:tx>
            <c:strRef>
              <c:f>Language!$H$27</c:f>
              <c:strCache>
                <c:ptCount val="1"/>
                <c:pt idx="0">
                  <c:v>Euro - €</c:v>
                </c:pt>
              </c:strCache>
            </c:strRef>
          </c:tx>
          <c:overlay val="0"/>
          <c:txPr>
            <a:bodyPr/>
            <a:lstStyle/>
            <a:p>
              <a:pPr>
                <a:defRPr sz="1200"/>
              </a:pPr>
              <a:endParaRPr lang="en-US"/>
            </a:p>
          </c:txPr>
        </c:title>
        <c:numFmt formatCode="#,##0" sourceLinked="0"/>
        <c:majorTickMark val="out"/>
        <c:minorTickMark val="none"/>
        <c:tickLblPos val="nextTo"/>
        <c:crossAx val="557260976"/>
        <c:crosses val="autoZero"/>
        <c:crossBetween val="between"/>
      </c:valAx>
    </c:plotArea>
    <c:plotVisOnly val="0"/>
    <c:dispBlanksAs val="gap"/>
    <c:showDLblsOverMax val="0"/>
  </c:chart>
  <c:spPr>
    <a:gradFill rotWithShape="1">
      <a:gsLst>
        <a:gs pos="0">
          <a:srgbClr val="9E9EA2">
            <a:tint val="50000"/>
            <a:satMod val="300000"/>
          </a:srgbClr>
        </a:gs>
        <a:gs pos="35000">
          <a:srgbClr val="9E9EA2">
            <a:tint val="37000"/>
            <a:satMod val="300000"/>
          </a:srgbClr>
        </a:gs>
        <a:gs pos="100000">
          <a:srgbClr val="9E9EA2">
            <a:tint val="15000"/>
            <a:satMod val="350000"/>
          </a:srgbClr>
        </a:gs>
      </a:gsLst>
      <a:lin ang="16200000" scaled="1"/>
    </a:gradFill>
    <a:ln w="9525" cap="flat" cmpd="sng" algn="ctr">
      <a:noFill/>
      <a:prstDash val="solid"/>
    </a:ln>
    <a:effectLst/>
  </c:spPr>
  <c:txPr>
    <a:bodyPr/>
    <a:lstStyle/>
    <a:p>
      <a:pPr>
        <a:defRPr>
          <a:solidFill>
            <a:srgbClr val="58585B"/>
          </a:solidFill>
          <a:latin typeface="+mn-lt"/>
          <a:ea typeface="+mn-ea"/>
          <a:cs typeface="+mn-cs"/>
        </a:defRPr>
      </a:pPr>
      <a:endParaRPr lang="en-US"/>
    </a:p>
  </c:txPr>
  <c:printSettings>
    <c:headerFooter/>
    <c:pageMargins b="0.75" l="0.7" r="0.7" t="0.75" header="0.3" footer="0.3"/>
    <c:pageSetup paperSize="0" orientation="landscape" horizontalDpi="0" verticalDpi="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70570866141733"/>
          <c:y val="2.9629883221119098E-2"/>
          <c:w val="0.68980561023622045"/>
          <c:h val="0.63981969645098713"/>
        </c:manualLayout>
      </c:layout>
      <c:pieChart>
        <c:varyColors val="1"/>
        <c:ser>
          <c:idx val="0"/>
          <c:order val="0"/>
          <c:tx>
            <c:strRef>
              <c:f>Image!$J$6</c:f>
              <c:strCache>
                <c:ptCount val="1"/>
                <c:pt idx="0">
                  <c:v>Q4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F-4547-A84C-CF444443AB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F-4547-A84C-CF444443ABD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9F-4547-A84C-CF444443ABD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9F-4547-A84C-CF444443ABD4}"/>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Image!$B$7:$B$10</c:f>
              <c:strCache>
                <c:ptCount val="4"/>
                <c:pt idx="0">
                  <c:v>North</c:v>
                </c:pt>
                <c:pt idx="1">
                  <c:v>South</c:v>
                </c:pt>
                <c:pt idx="2">
                  <c:v>East</c:v>
                </c:pt>
                <c:pt idx="3">
                  <c:v>West</c:v>
                </c:pt>
              </c:strCache>
            </c:strRef>
          </c:cat>
          <c:val>
            <c:numRef>
              <c:f>Image!$J$7:$J$10</c:f>
              <c:numCache>
                <c:formatCode>General</c:formatCode>
                <c:ptCount val="4"/>
                <c:pt idx="0">
                  <c:v>125</c:v>
                </c:pt>
                <c:pt idx="1">
                  <c:v>88</c:v>
                </c:pt>
                <c:pt idx="2">
                  <c:v>99</c:v>
                </c:pt>
                <c:pt idx="3">
                  <c:v>99</c:v>
                </c:pt>
              </c:numCache>
            </c:numRef>
          </c:val>
          <c:extLst>
            <c:ext xmlns:c16="http://schemas.microsoft.com/office/drawing/2014/chart" uri="{C3380CC4-5D6E-409C-BE32-E72D297353CC}">
              <c16:uniqueId val="{00000008-049F-4547-A84C-CF444443ABD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0347769028871386E-2"/>
          <c:y val="0.70772718627562858"/>
          <c:w val="0.82972112860892377"/>
          <c:h val="0.26328730647799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Pie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97609227418002"/>
          <c:y val="0.26907534995625548"/>
          <c:w val="0.39472244540860962"/>
          <c:h val="0.60441874453193356"/>
        </c:manualLayout>
      </c:layout>
      <c:pieChart>
        <c:varyColors val="1"/>
        <c:ser>
          <c:idx val="0"/>
          <c:order val="0"/>
          <c:tx>
            <c:strRef>
              <c:f>Charts!$C$82</c:f>
              <c:strCache>
                <c:ptCount val="1"/>
                <c:pt idx="0">
                  <c:v>Slice Size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7A-4672-9847-8C0EF89F86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7A-4672-9847-8C0EF89F86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7A-4672-9847-8C0EF89F86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7A-4672-9847-8C0EF89F866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Charts!$B$83:$B$86</c:f>
              <c:strCache>
                <c:ptCount val="4"/>
                <c:pt idx="0">
                  <c:v>Category 1</c:v>
                </c:pt>
                <c:pt idx="1">
                  <c:v>Category 2</c:v>
                </c:pt>
                <c:pt idx="2">
                  <c:v>Category 3</c:v>
                </c:pt>
                <c:pt idx="3">
                  <c:v>Category 4</c:v>
                </c:pt>
              </c:strCache>
            </c:strRef>
          </c:cat>
          <c:val>
            <c:numRef>
              <c:f>Charts!$C$83:$C$86</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8-637A-4672-9847-8C0EF89F866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Column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Charts!$C$31</c:f>
              <c:strCache>
                <c:ptCount val="1"/>
                <c:pt idx="0">
                  <c:v>Series A</c:v>
                </c:pt>
              </c:strCache>
            </c:strRef>
          </c:tx>
          <c:spPr>
            <a:solidFill>
              <a:schemeClr val="accent1"/>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ED85-468A-9495-6C44D41500F9}"/>
            </c:ext>
          </c:extLst>
        </c:ser>
        <c:ser>
          <c:idx val="1"/>
          <c:order val="1"/>
          <c:tx>
            <c:strRef>
              <c:f>Charts!$D$31</c:f>
              <c:strCache>
                <c:ptCount val="1"/>
                <c:pt idx="0">
                  <c:v>Series B</c:v>
                </c:pt>
              </c:strCache>
            </c:strRef>
          </c:tx>
          <c:spPr>
            <a:solidFill>
              <a:schemeClr val="accent2"/>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ED85-468A-9495-6C44D41500F9}"/>
            </c:ext>
          </c:extLst>
        </c:ser>
        <c:ser>
          <c:idx val="2"/>
          <c:order val="2"/>
          <c:tx>
            <c:strRef>
              <c:f>Charts!$E$31</c:f>
              <c:strCache>
                <c:ptCount val="1"/>
                <c:pt idx="0">
                  <c:v>Series C</c:v>
                </c:pt>
              </c:strCache>
            </c:strRef>
          </c:tx>
          <c:spPr>
            <a:solidFill>
              <a:schemeClr val="accent3"/>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2-ED85-468A-9495-6C44D41500F9}"/>
            </c:ext>
          </c:extLst>
        </c:ser>
        <c:dLbls>
          <c:showLegendKey val="0"/>
          <c:showVal val="0"/>
          <c:showCatName val="0"/>
          <c:showSerName val="0"/>
          <c:showPercent val="0"/>
          <c:showBubbleSize val="0"/>
        </c:dLbls>
        <c:gapWidth val="150"/>
        <c:shape val="box"/>
        <c:axId val="567615488"/>
        <c:axId val="567605976"/>
        <c:axId val="0"/>
      </c:bar3DChart>
      <c:catAx>
        <c:axId val="567615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67605976"/>
        <c:crosses val="autoZero"/>
        <c:auto val="1"/>
        <c:lblAlgn val="ctr"/>
        <c:lblOffset val="100"/>
        <c:noMultiLvlLbl val="0"/>
      </c:catAx>
      <c:valAx>
        <c:axId val="567605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6761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Bar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442672790901136"/>
          <c:y val="0.21634259259259259"/>
          <c:w val="0.76659405074365705"/>
          <c:h val="0.5467559784193643"/>
        </c:manualLayout>
      </c:layout>
      <c:bar3DChart>
        <c:barDir val="bar"/>
        <c:grouping val="clustered"/>
        <c:varyColors val="0"/>
        <c:ser>
          <c:idx val="0"/>
          <c:order val="0"/>
          <c:tx>
            <c:strRef>
              <c:f>Charts!$C$31</c:f>
              <c:strCache>
                <c:ptCount val="1"/>
                <c:pt idx="0">
                  <c:v>Series A</c:v>
                </c:pt>
              </c:strCache>
            </c:strRef>
          </c:tx>
          <c:spPr>
            <a:solidFill>
              <a:schemeClr val="accent1"/>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0-25CE-4F35-875A-BC25B402EFC1}"/>
            </c:ext>
          </c:extLst>
        </c:ser>
        <c:ser>
          <c:idx val="1"/>
          <c:order val="1"/>
          <c:tx>
            <c:strRef>
              <c:f>Charts!$D$31</c:f>
              <c:strCache>
                <c:ptCount val="1"/>
                <c:pt idx="0">
                  <c:v>Series B</c:v>
                </c:pt>
              </c:strCache>
            </c:strRef>
          </c:tx>
          <c:spPr>
            <a:solidFill>
              <a:schemeClr val="accent2"/>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1-25CE-4F35-875A-BC25B402EFC1}"/>
            </c:ext>
          </c:extLst>
        </c:ser>
        <c:ser>
          <c:idx val="2"/>
          <c:order val="2"/>
          <c:tx>
            <c:strRef>
              <c:f>Charts!$E$31</c:f>
              <c:strCache>
                <c:ptCount val="1"/>
                <c:pt idx="0">
                  <c:v>Series C</c:v>
                </c:pt>
              </c:strCache>
            </c:strRef>
          </c:tx>
          <c:spPr>
            <a:solidFill>
              <a:schemeClr val="accent3"/>
            </a:solidFill>
            <a:ln>
              <a:noFill/>
            </a:ln>
            <a:effectLst/>
            <a:sp3d/>
          </c:spPr>
          <c:invertIfNegative val="0"/>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2-25CE-4F35-875A-BC25B402EFC1}"/>
            </c:ext>
          </c:extLst>
        </c:ser>
        <c:dLbls>
          <c:showLegendKey val="0"/>
          <c:showVal val="0"/>
          <c:showCatName val="0"/>
          <c:showSerName val="0"/>
          <c:showPercent val="0"/>
          <c:showBubbleSize val="0"/>
        </c:dLbls>
        <c:gapWidth val="150"/>
        <c:shape val="box"/>
        <c:axId val="531781872"/>
        <c:axId val="531774984"/>
        <c:axId val="0"/>
      </c:bar3DChart>
      <c:catAx>
        <c:axId val="531781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31774984"/>
        <c:crosses val="autoZero"/>
        <c:auto val="1"/>
        <c:lblAlgn val="ctr"/>
        <c:lblOffset val="100"/>
        <c:noMultiLvlLbl val="0"/>
      </c:catAx>
      <c:valAx>
        <c:axId val="5317749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3178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Line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Charts!$C$31</c:f>
              <c:strCache>
                <c:ptCount val="1"/>
                <c:pt idx="0">
                  <c:v>Series A</c:v>
                </c:pt>
              </c:strCache>
            </c:strRef>
          </c:tx>
          <c:spPr>
            <a:ln w="28575" cap="rnd">
              <a:solidFill>
                <a:schemeClr val="accent1"/>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smooth val="0"/>
          <c:extLst>
            <c:ext xmlns:c16="http://schemas.microsoft.com/office/drawing/2014/chart" uri="{C3380CC4-5D6E-409C-BE32-E72D297353CC}">
              <c16:uniqueId val="{00000000-4334-431C-BEF8-351B04D4508D}"/>
            </c:ext>
          </c:extLst>
        </c:ser>
        <c:ser>
          <c:idx val="1"/>
          <c:order val="1"/>
          <c:tx>
            <c:strRef>
              <c:f>Charts!$D$31</c:f>
              <c:strCache>
                <c:ptCount val="1"/>
                <c:pt idx="0">
                  <c:v>Series B</c:v>
                </c:pt>
              </c:strCache>
            </c:strRef>
          </c:tx>
          <c:spPr>
            <a:ln w="28575" cap="rnd">
              <a:solidFill>
                <a:schemeClr val="accent2"/>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smooth val="0"/>
          <c:extLst>
            <c:ext xmlns:c16="http://schemas.microsoft.com/office/drawing/2014/chart" uri="{C3380CC4-5D6E-409C-BE32-E72D297353CC}">
              <c16:uniqueId val="{00000001-4334-431C-BEF8-351B04D4508D}"/>
            </c:ext>
          </c:extLst>
        </c:ser>
        <c:ser>
          <c:idx val="2"/>
          <c:order val="2"/>
          <c:tx>
            <c:strRef>
              <c:f>Charts!$E$31</c:f>
              <c:strCache>
                <c:ptCount val="1"/>
                <c:pt idx="0">
                  <c:v>Series C</c:v>
                </c:pt>
              </c:strCache>
            </c:strRef>
          </c:tx>
          <c:spPr>
            <a:ln w="28575" cap="rnd">
              <a:solidFill>
                <a:schemeClr val="accent3"/>
              </a:solidFill>
              <a:round/>
            </a:ln>
            <a:effectLst/>
          </c:spPr>
          <c:marker>
            <c:symbol val="none"/>
          </c:marker>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smooth val="0"/>
          <c:extLst>
            <c:ext xmlns:c16="http://schemas.microsoft.com/office/drawing/2014/chart" uri="{C3380CC4-5D6E-409C-BE32-E72D297353CC}">
              <c16:uniqueId val="{00000002-4334-431C-BEF8-351B04D4508D}"/>
            </c:ext>
          </c:extLst>
        </c:ser>
        <c:dLbls>
          <c:showLegendKey val="0"/>
          <c:showVal val="0"/>
          <c:showCatName val="0"/>
          <c:showSerName val="0"/>
          <c:showPercent val="0"/>
          <c:showBubbleSize val="0"/>
        </c:dLbls>
        <c:smooth val="0"/>
        <c:axId val="567603680"/>
        <c:axId val="567602040"/>
      </c:lineChart>
      <c:catAx>
        <c:axId val="5676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7602040"/>
        <c:crosses val="autoZero"/>
        <c:auto val="1"/>
        <c:lblAlgn val="ctr"/>
        <c:lblOffset val="100"/>
        <c:noMultiLvlLbl val="0"/>
      </c:catAx>
      <c:valAx>
        <c:axId val="567602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760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Area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Charts!$C$31</c:f>
              <c:strCache>
                <c:ptCount val="1"/>
                <c:pt idx="0">
                  <c:v>Series A</c:v>
                </c:pt>
              </c:strCache>
            </c:strRef>
          </c:tx>
          <c:spPr>
            <a:solidFill>
              <a:schemeClr val="accent2"/>
            </a:solidFill>
            <a:ln w="25400">
              <a:noFill/>
            </a:ln>
            <a:effectLst/>
          </c:spPr>
          <c:cat>
            <c:strRef>
              <c:f>Charts!$B$32:$B$35</c:f>
              <c:strCache>
                <c:ptCount val="4"/>
                <c:pt idx="0">
                  <c:v>Category 1</c:v>
                </c:pt>
                <c:pt idx="1">
                  <c:v>Category 2</c:v>
                </c:pt>
                <c:pt idx="2">
                  <c:v>Category 3</c:v>
                </c:pt>
                <c:pt idx="3">
                  <c:v>Category 4</c:v>
                </c:pt>
              </c:strCache>
            </c:strRef>
          </c:cat>
          <c:val>
            <c:numRef>
              <c:f>Charts!$C$32:$C$35</c:f>
              <c:numCache>
                <c:formatCode>0</c:formatCode>
                <c:ptCount val="4"/>
                <c:pt idx="0">
                  <c:v>50</c:v>
                </c:pt>
                <c:pt idx="1">
                  <c:v>35</c:v>
                </c:pt>
                <c:pt idx="2">
                  <c:v>24.5</c:v>
                </c:pt>
                <c:pt idx="3">
                  <c:v>17.149999999999999</c:v>
                </c:pt>
              </c:numCache>
            </c:numRef>
          </c:val>
          <c:extLst>
            <c:ext xmlns:c16="http://schemas.microsoft.com/office/drawing/2014/chart" uri="{C3380CC4-5D6E-409C-BE32-E72D297353CC}">
              <c16:uniqueId val="{00000001-D144-46F5-8741-44226AB9C5F9}"/>
            </c:ext>
          </c:extLst>
        </c:ser>
        <c:ser>
          <c:idx val="2"/>
          <c:order val="1"/>
          <c:tx>
            <c:strRef>
              <c:f>Charts!$D$31</c:f>
              <c:strCache>
                <c:ptCount val="1"/>
                <c:pt idx="0">
                  <c:v>Series B</c:v>
                </c:pt>
              </c:strCache>
            </c:strRef>
          </c:tx>
          <c:spPr>
            <a:solidFill>
              <a:schemeClr val="accent3"/>
            </a:solidFill>
            <a:ln w="25400">
              <a:noFill/>
            </a:ln>
            <a:effectLst/>
          </c:spPr>
          <c:cat>
            <c:strRef>
              <c:f>Charts!$B$32:$B$35</c:f>
              <c:strCache>
                <c:ptCount val="4"/>
                <c:pt idx="0">
                  <c:v>Category 1</c:v>
                </c:pt>
                <c:pt idx="1">
                  <c:v>Category 2</c:v>
                </c:pt>
                <c:pt idx="2">
                  <c:v>Category 3</c:v>
                </c:pt>
                <c:pt idx="3">
                  <c:v>Category 4</c:v>
                </c:pt>
              </c:strCache>
            </c:strRef>
          </c:cat>
          <c:val>
            <c:numRef>
              <c:f>Charts!$D$32:$D$35</c:f>
              <c:numCache>
                <c:formatCode>0</c:formatCode>
                <c:ptCount val="4"/>
                <c:pt idx="0">
                  <c:v>25</c:v>
                </c:pt>
                <c:pt idx="1">
                  <c:v>10</c:v>
                </c:pt>
                <c:pt idx="2">
                  <c:v>12.25</c:v>
                </c:pt>
                <c:pt idx="3">
                  <c:v>8.5749999999999993</c:v>
                </c:pt>
              </c:numCache>
            </c:numRef>
          </c:val>
          <c:extLst>
            <c:ext xmlns:c16="http://schemas.microsoft.com/office/drawing/2014/chart" uri="{C3380CC4-5D6E-409C-BE32-E72D297353CC}">
              <c16:uniqueId val="{00000002-D144-46F5-8741-44226AB9C5F9}"/>
            </c:ext>
          </c:extLst>
        </c:ser>
        <c:ser>
          <c:idx val="0"/>
          <c:order val="2"/>
          <c:tx>
            <c:strRef>
              <c:f>Charts!$E$31</c:f>
              <c:strCache>
                <c:ptCount val="1"/>
                <c:pt idx="0">
                  <c:v>Series C</c:v>
                </c:pt>
              </c:strCache>
            </c:strRef>
          </c:tx>
          <c:spPr>
            <a:solidFill>
              <a:schemeClr val="accent1"/>
            </a:solidFill>
            <a:ln w="25400">
              <a:noFill/>
            </a:ln>
            <a:effectLst/>
          </c:spPr>
          <c:cat>
            <c:strRef>
              <c:f>Charts!$B$32:$B$35</c:f>
              <c:strCache>
                <c:ptCount val="4"/>
                <c:pt idx="0">
                  <c:v>Category 1</c:v>
                </c:pt>
                <c:pt idx="1">
                  <c:v>Category 2</c:v>
                </c:pt>
                <c:pt idx="2">
                  <c:v>Category 3</c:v>
                </c:pt>
                <c:pt idx="3">
                  <c:v>Category 4</c:v>
                </c:pt>
              </c:strCache>
            </c:strRef>
          </c:cat>
          <c:val>
            <c:numRef>
              <c:f>Charts!$E$32:$E$35</c:f>
              <c:numCache>
                <c:formatCode>0</c:formatCode>
                <c:ptCount val="4"/>
                <c:pt idx="0">
                  <c:v>75</c:v>
                </c:pt>
                <c:pt idx="1">
                  <c:v>52.5</c:v>
                </c:pt>
                <c:pt idx="2">
                  <c:v>36.75</c:v>
                </c:pt>
                <c:pt idx="3">
                  <c:v>25.724999999999998</c:v>
                </c:pt>
              </c:numCache>
            </c:numRef>
          </c:val>
          <c:extLst>
            <c:ext xmlns:c16="http://schemas.microsoft.com/office/drawing/2014/chart" uri="{C3380CC4-5D6E-409C-BE32-E72D297353CC}">
              <c16:uniqueId val="{00000000-D144-46F5-8741-44226AB9C5F9}"/>
            </c:ext>
          </c:extLst>
        </c:ser>
        <c:dLbls>
          <c:showLegendKey val="0"/>
          <c:showVal val="0"/>
          <c:showCatName val="0"/>
          <c:showSerName val="0"/>
          <c:showPercent val="0"/>
          <c:showBubbleSize val="0"/>
        </c:dLbls>
        <c:axId val="567617456"/>
        <c:axId val="567623360"/>
      </c:areaChart>
      <c:catAx>
        <c:axId val="5676174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7623360"/>
        <c:crosses val="autoZero"/>
        <c:auto val="1"/>
        <c:lblAlgn val="ctr"/>
        <c:lblOffset val="100"/>
        <c:noMultiLvlLbl val="0"/>
      </c:catAx>
      <c:valAx>
        <c:axId val="567623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76174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62" b="0" i="0" u="none" strike="noStrike" kern="1200" spc="0" baseline="0">
                <a:solidFill>
                  <a:schemeClr val="tx1">
                    <a:lumMod val="65000"/>
                    <a:lumOff val="35000"/>
                  </a:schemeClr>
                </a:solidFill>
                <a:latin typeface="+mn-lt"/>
                <a:ea typeface="+mn-ea"/>
                <a:cs typeface="+mn-cs"/>
              </a:defRPr>
            </a:pPr>
            <a:r>
              <a:rPr lang="en-US"/>
              <a:t>Scatter</a:t>
            </a:r>
          </a:p>
        </c:rich>
      </c:tx>
      <c:overlay val="0"/>
      <c:spPr>
        <a:noFill/>
        <a:ln>
          <a:noFill/>
        </a:ln>
        <a:effectLst/>
      </c:spPr>
      <c:txPr>
        <a:bodyPr rot="0" spcFirstLastPara="1" vertOverflow="ellipsis" vert="horz" wrap="square" anchor="ctr" anchorCtr="1"/>
        <a:lstStyle/>
        <a:p>
          <a:pPr>
            <a:defRPr sz="1862"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Charts!$C$95</c:f>
              <c:strCache>
                <c:ptCount val="1"/>
                <c:pt idx="0">
                  <c:v>Y-Values</c:v>
                </c:pt>
              </c:strCache>
            </c:strRef>
          </c:tx>
          <c:spPr>
            <a:ln w="25400" cap="rnd">
              <a:noFill/>
              <a:round/>
            </a:ln>
            <a:effectLst/>
          </c:spPr>
          <c:marker>
            <c:symbol val="circle"/>
            <c:size val="5"/>
            <c:spPr>
              <a:solidFill>
                <a:schemeClr val="accent1"/>
              </a:solidFill>
              <a:ln w="9525">
                <a:solidFill>
                  <a:schemeClr val="accent1"/>
                </a:solidFill>
              </a:ln>
              <a:effectLst/>
            </c:spPr>
          </c:marker>
          <c:xVal>
            <c:numRef>
              <c:f>Charts!$B$96:$B$110</c:f>
              <c:numCache>
                <c:formatCode>0</c:formatCode>
                <c:ptCount val="15"/>
                <c:pt idx="0">
                  <c:v>50</c:v>
                </c:pt>
                <c:pt idx="1">
                  <c:v>45</c:v>
                </c:pt>
                <c:pt idx="2">
                  <c:v>40.5</c:v>
                </c:pt>
                <c:pt idx="3">
                  <c:v>36.450000000000003</c:v>
                </c:pt>
                <c:pt idx="4">
                  <c:v>32.805000000000007</c:v>
                </c:pt>
                <c:pt idx="5">
                  <c:v>29.524500000000007</c:v>
                </c:pt>
                <c:pt idx="6">
                  <c:v>26.572050000000008</c:v>
                </c:pt>
                <c:pt idx="7">
                  <c:v>23.914845000000007</c:v>
                </c:pt>
                <c:pt idx="8">
                  <c:v>21.523360500000006</c:v>
                </c:pt>
                <c:pt idx="9">
                  <c:v>19.371024450000007</c:v>
                </c:pt>
                <c:pt idx="10">
                  <c:v>17.433922005000007</c:v>
                </c:pt>
                <c:pt idx="11">
                  <c:v>15.690529804500006</c:v>
                </c:pt>
                <c:pt idx="12">
                  <c:v>14.121476824050006</c:v>
                </c:pt>
                <c:pt idx="13">
                  <c:v>12.709329141645005</c:v>
                </c:pt>
                <c:pt idx="14">
                  <c:v>11.438396227480505</c:v>
                </c:pt>
              </c:numCache>
            </c:numRef>
          </c:xVal>
          <c:yVal>
            <c:numRef>
              <c:f>Charts!$C$96:$C$110</c:f>
              <c:numCache>
                <c:formatCode>0</c:formatCode>
                <c:ptCount val="15"/>
                <c:pt idx="0">
                  <c:v>25</c:v>
                </c:pt>
                <c:pt idx="1">
                  <c:v>27.500000000000004</c:v>
                </c:pt>
                <c:pt idx="2">
                  <c:v>30.250000000000007</c:v>
                </c:pt>
                <c:pt idx="3">
                  <c:v>33.275000000000013</c:v>
                </c:pt>
                <c:pt idx="4">
                  <c:v>36.60250000000002</c:v>
                </c:pt>
                <c:pt idx="5">
                  <c:v>40.262750000000025</c:v>
                </c:pt>
                <c:pt idx="6">
                  <c:v>44.289025000000031</c:v>
                </c:pt>
                <c:pt idx="7">
                  <c:v>48.717927500000037</c:v>
                </c:pt>
                <c:pt idx="8">
                  <c:v>53.589720250000049</c:v>
                </c:pt>
                <c:pt idx="9">
                  <c:v>58.948692275000056</c:v>
                </c:pt>
                <c:pt idx="10">
                  <c:v>64.843561502500066</c:v>
                </c:pt>
                <c:pt idx="11">
                  <c:v>71.327917652750074</c:v>
                </c:pt>
                <c:pt idx="12">
                  <c:v>78.46070941802509</c:v>
                </c:pt>
                <c:pt idx="13">
                  <c:v>86.306780359827599</c:v>
                </c:pt>
                <c:pt idx="14">
                  <c:v>94.937458395810367</c:v>
                </c:pt>
              </c:numCache>
            </c:numRef>
          </c:yVal>
          <c:smooth val="0"/>
          <c:extLst>
            <c:ext xmlns:c16="http://schemas.microsoft.com/office/drawing/2014/chart" uri="{C3380CC4-5D6E-409C-BE32-E72D297353CC}">
              <c16:uniqueId val="{00000000-C613-4094-9E62-F817D65E3F6A}"/>
            </c:ext>
          </c:extLst>
        </c:ser>
        <c:dLbls>
          <c:showLegendKey val="0"/>
          <c:showVal val="0"/>
          <c:showCatName val="0"/>
          <c:showSerName val="0"/>
          <c:showPercent val="0"/>
          <c:showBubbleSize val="0"/>
        </c:dLbls>
        <c:axId val="567601056"/>
        <c:axId val="567601384"/>
      </c:scatterChart>
      <c:valAx>
        <c:axId val="567601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97" b="0" i="0" u="none" strike="noStrike" kern="1200" baseline="0">
                <a:solidFill>
                  <a:schemeClr val="tx1">
                    <a:lumMod val="65000"/>
                    <a:lumOff val="35000"/>
                  </a:schemeClr>
                </a:solidFill>
                <a:latin typeface="+mn-lt"/>
                <a:ea typeface="+mn-ea"/>
                <a:cs typeface="+mn-cs"/>
              </a:defRPr>
            </a:pPr>
            <a:endParaRPr lang="en-US"/>
          </a:p>
        </c:txPr>
        <c:crossAx val="567601384"/>
        <c:crosses val="autoZero"/>
        <c:crossBetween val="midCat"/>
      </c:valAx>
      <c:valAx>
        <c:axId val="567601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97" b="0" i="0" u="none" strike="noStrike" kern="1200" baseline="0">
                <a:solidFill>
                  <a:schemeClr val="tx1">
                    <a:lumMod val="65000"/>
                    <a:lumOff val="35000"/>
                  </a:schemeClr>
                </a:solidFill>
                <a:latin typeface="+mn-lt"/>
                <a:ea typeface="+mn-ea"/>
                <a:cs typeface="+mn-cs"/>
              </a:defRPr>
            </a:pPr>
            <a:endParaRPr lang="en-US"/>
          </a:p>
        </c:txPr>
        <c:crossAx val="567601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_xlchart.v1.13</cx:f>
      </cx:strDim>
      <cx:numDim type="size">
        <cx:f>_xlchart.v1.15</cx:f>
      </cx:numDim>
    </cx:data>
  </cx:chartData>
  <cx:chart>
    <cx:title pos="t" align="ctr" overlay="0">
      <cx:tx>
        <cx:txData>
          <cx:v>Sunburst Chart</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Sunburst Chart</a:t>
          </a:r>
        </a:p>
      </cx:txPr>
    </cx:title>
    <cx:plotArea>
      <cx:plotAreaRegion>
        <cx:series layoutId="sunburst" uniqueId="{EC3986D3-3746-4CE7-AAD3-2C865EA5196C}">
          <cx:tx>
            <cx:txData>
              <cx:f>_xlchart.v1.14</cx:f>
              <cx:v>Value</cx:v>
            </cx:txData>
          </cx:tx>
          <cx:dataLabels pos="ct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size">
        <cx:f>_xlchart.v1.12</cx:f>
      </cx:numDim>
    </cx:data>
  </cx:chartData>
  <cx:chart>
    <cx:title pos="t" align="ctr" overlay="0">
      <cx:tx>
        <cx:txData>
          <cx:v>TreeMap Chart</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TreeMap Chart</a:t>
          </a:r>
        </a:p>
      </cx:txPr>
    </cx:title>
    <cx:plotArea>
      <cx:plotAreaRegion>
        <cx:series layoutId="treemap" uniqueId="{27BB484D-DFEB-45A9-B675-D97F0962AC5B}">
          <cx:tx>
            <cx:txData>
              <cx:f>_xlchart.v1.11</cx:f>
              <cx:v>SizeValue</cx:v>
            </cx:txData>
          </cx:tx>
          <cx:dataLabels pos="inEnd">
            <cx:visibility seriesName="0" categoryName="1" value="0"/>
          </cx:dataLabels>
          <cx:dataId val="0"/>
          <cx:layoutPr>
            <cx:parentLabelLayout val="overlapping"/>
          </cx:layoutPr>
        </cx:series>
      </cx:plotAreaRegion>
    </cx:plotArea>
    <cx:legend pos="t"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data id="1">
      <cx:strDim type="cat">
        <cx:f>_xlchart.v1.3</cx:f>
      </cx:strDim>
      <cx:numDim type="val">
        <cx:f>_xlchart.v1.7</cx:f>
      </cx:numDim>
    </cx:data>
    <cx:data id="2">
      <cx:strDim type="cat">
        <cx:f>_xlchart.v1.3</cx:f>
      </cx:strDim>
      <cx:numDim type="val">
        <cx:f>_xlchart.v1.9</cx:f>
      </cx:numDim>
    </cx:data>
  </cx:chartData>
  <cx:chart>
    <cx:title pos="t" align="ctr" overlay="0">
      <cx:tx>
        <cx:txData>
          <cx:v>Box and Whisker Chart</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Box and Whisker Chart</a:t>
          </a:r>
        </a:p>
      </cx:txPr>
    </cx:title>
    <cx:plotArea>
      <cx:plotAreaRegion>
        <cx:series layoutId="boxWhisker" uniqueId="{C8A8E305-E288-4AB2-9B1A-D0B2DDE46107}">
          <cx:tx>
            <cx:txData>
              <cx:f>_xlchart.v1.4</cx:f>
              <cx:v>Series1</cx:v>
            </cx:txData>
          </cx:tx>
          <cx:dataId val="0"/>
          <cx:layoutPr>
            <cx:visibility meanLine="0" meanMarker="1" nonoutliers="0" outliers="1"/>
            <cx:statistics quartileMethod="exclusive"/>
          </cx:layoutPr>
        </cx:series>
        <cx:series layoutId="boxWhisker" uniqueId="{30BF8864-473E-4708-A035-CD05EF48EAB4}">
          <cx:tx>
            <cx:txData>
              <cx:f>_xlchart.v1.6</cx:f>
              <cx:v>Series2</cx:v>
            </cx:txData>
          </cx:tx>
          <cx:dataId val="1"/>
          <cx:layoutPr>
            <cx:visibility meanLine="0" meanMarker="1" nonoutliers="0" outliers="1"/>
            <cx:statistics quartileMethod="exclusive"/>
          </cx:layoutPr>
        </cx:series>
        <cx:series layoutId="boxWhisker" uniqueId="{C239D6FF-C583-42B3-B6AF-948BD780052E}">
          <cx:tx>
            <cx:txData>
              <cx:f>_xlchart.v1.8</cx:f>
              <cx:v>Series3</cx:v>
            </cx:txData>
          </cx:tx>
          <cx:dataId val="2"/>
          <cx:layoutPr>
            <cx:visibility meanLine="0" meanMarker="1" nonoutliers="0" outliers="1"/>
            <cx:statistics quartileMethod="exclusive"/>
          </cx:layoutPr>
        </cx:series>
      </cx:plotAreaRegion>
      <cx:axis id="0">
        <cx:catScaling gapWidth="1"/>
        <cx:tickLabels/>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Waterfall Chart</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Waterfall Chart</a:t>
          </a:r>
        </a:p>
      </cx:txPr>
    </cx:title>
    <cx:plotArea>
      <cx:plotAreaRegion>
        <cx:series layoutId="waterfall" uniqueId="{77A2AD41-33C3-4031-9E2A-5174C1D4C348}">
          <cx:tx>
            <cx:txData>
              <cx:f>_xlchart.v1.1</cx:f>
              <cx:v>Values</cx:v>
            </cx:txData>
          </cx:tx>
          <cx:dataLabels pos="outEnd">
            <cx:visibility seriesName="0" categoryName="0" value="1"/>
          </cx:dataLabels>
          <cx:dataId val="0"/>
          <cx:layoutPr>
            <cx:subtotals/>
          </cx:layoutPr>
        </cx:series>
      </cx:plotAreaRegion>
      <cx:axis id="0">
        <cx:catScaling gapWidth="0.5"/>
        <cx:title>
          <cx:tx>
            <cx:txData>
              <cx:v>Category</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Category</a:t>
              </a:r>
            </a:p>
          </cx:txPr>
        </cx:title>
        <cx:tickLabels/>
      </cx:axis>
      <cx:axis id="1">
        <cx:valScaling/>
        <cx:majorGridlines/>
        <cx:tickLabels/>
      </cx:axis>
    </cx:plotArea>
    <cx:legend pos="t"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_xlchart.v2.16</cx:f>
      </cx:strDim>
      <cx:numDim type="val">
        <cx:f>_xlchart.v2.18</cx:f>
      </cx:numDim>
    </cx:data>
  </cx:chartData>
  <cx:chart>
    <cx:title pos="t" align="ctr" overlay="0"/>
    <cx:plotArea>
      <cx:plotAreaRegion>
        <cx:series layoutId="funnel" uniqueId="{D003EF2B-C226-497E-A4BA-5F2913F60506}">
          <cx:tx>
            <cx:txData>
              <cx:f>_xlchart.v2.17</cx:f>
              <cx:v>Values</cx:v>
            </cx:txData>
          </cx:tx>
          <cx:dataLabels>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1197"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197"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1197"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xml"/><Relationship Id="rId1" Type="http://schemas.openxmlformats.org/officeDocument/2006/relationships/image" Target="../media/image4.png"/><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19.xml"/><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7.sv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chart" Target="../charts/chart20.xml"/><Relationship Id="rId5" Type="http://schemas.openxmlformats.org/officeDocument/2006/relationships/image" Target="../media/image26.emf"/><Relationship Id="rId4"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hyperlink" Target="https://en.wikipedia.org/wiki/Microsoft_Excel" TargetMode="Externa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microsoft.com/office/2014/relationships/chartEx" Target="../charts/chartEx4.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microsoft.com/office/2014/relationships/chartEx" Target="../charts/chartEx3.xml"/><Relationship Id="rId2" Type="http://schemas.openxmlformats.org/officeDocument/2006/relationships/chart" Target="../charts/chart5.xml"/><Relationship Id="rId16" Type="http://schemas.microsoft.com/office/2014/relationships/chartEx" Target="../charts/chartEx2.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7.xml"/><Relationship Id="rId10" Type="http://schemas.openxmlformats.org/officeDocument/2006/relationships/chart" Target="../charts/chart13.xml"/><Relationship Id="rId19" Type="http://schemas.microsoft.com/office/2014/relationships/chartEx" Target="../charts/chartEx5.xml"/><Relationship Id="rId4" Type="http://schemas.openxmlformats.org/officeDocument/2006/relationships/chart" Target="../charts/chart7.xml"/><Relationship Id="rId9" Type="http://schemas.openxmlformats.org/officeDocument/2006/relationships/chart" Target="../charts/chart12.xml"/><Relationship Id="rId14" Type="http://schemas.microsoft.com/office/2014/relationships/chartEx" Target="../charts/chartEx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10</xdr:col>
      <xdr:colOff>266700</xdr:colOff>
      <xdr:row>6</xdr:row>
      <xdr:rowOff>38101</xdr:rowOff>
    </xdr:from>
    <xdr:to>
      <xdr:col>14</xdr:col>
      <xdr:colOff>529688</xdr:colOff>
      <xdr:row>19</xdr:row>
      <xdr:rowOff>161926</xdr:rowOff>
    </xdr:to>
    <xdr:grpSp>
      <xdr:nvGrpSpPr>
        <xdr:cNvPr id="3" name="Group 2">
          <a:extLst>
            <a:ext uri="{FF2B5EF4-FFF2-40B4-BE49-F238E27FC236}">
              <a16:creationId xmlns:a16="http://schemas.microsoft.com/office/drawing/2014/main" id="{4E387C8E-C722-584F-F3F6-24AF79A3C1E0}"/>
            </a:ext>
          </a:extLst>
        </xdr:cNvPr>
        <xdr:cNvGrpSpPr>
          <a:grpSpLocks noChangeAspect="1"/>
        </xdr:cNvGrpSpPr>
      </xdr:nvGrpSpPr>
      <xdr:grpSpPr>
        <a:xfrm>
          <a:off x="9286875" y="2190751"/>
          <a:ext cx="3006188" cy="2609850"/>
          <a:chOff x="9429750" y="1790701"/>
          <a:chExt cx="3006188" cy="2609850"/>
        </a:xfrm>
      </xdr:grpSpPr>
      <xdr:pic>
        <xdr:nvPicPr>
          <xdr:cNvPr id="27" name="Picture 2">
            <a:extLst>
              <a:ext uri="{FF2B5EF4-FFF2-40B4-BE49-F238E27FC236}">
                <a16:creationId xmlns:a16="http://schemas.microsoft.com/office/drawing/2014/main" id="{688382C5-F249-F4F6-8622-138D5FFCDE4B}"/>
              </a:ext>
              <a:ext uri="{147F2762-F138-4A5C-976F-8EAC2B608ADB}">
                <a16:predDERef xmlns:a16="http://schemas.microsoft.com/office/drawing/2014/main" pred="{00000000-0008-0000-0000-00000A000000}"/>
              </a:ext>
            </a:extLst>
          </xdr:cNvPr>
          <xdr:cNvPicPr>
            <a:picLocks noChangeAspect="1"/>
          </xdr:cNvPicPr>
        </xdr:nvPicPr>
        <xdr:blipFill>
          <a:blip xmlns:r="http://schemas.openxmlformats.org/officeDocument/2006/relationships" r:embed="rId1"/>
          <a:stretch>
            <a:fillRect/>
          </a:stretch>
        </xdr:blipFill>
        <xdr:spPr>
          <a:xfrm>
            <a:off x="9429750" y="1790701"/>
            <a:ext cx="3006188" cy="2609850"/>
          </a:xfrm>
          <a:prstGeom prst="rect">
            <a:avLst/>
          </a:prstGeom>
          <a:solidFill>
            <a:schemeClr val="accent2"/>
          </a:solidFill>
          <a:ln>
            <a:noFill/>
          </a:ln>
          <a:effectLst>
            <a:outerShdw blurRad="292100" dist="139700" dir="2700000" algn="tl" rotWithShape="0">
              <a:srgbClr val="333333">
                <a:alpha val="65000"/>
              </a:srgbClr>
            </a:outerShdw>
          </a:effectLst>
        </xdr:spPr>
      </xdr:pic>
      <xdr:sp macro="" textlink="">
        <xdr:nvSpPr>
          <xdr:cNvPr id="7" name="Oval 6">
            <a:extLst>
              <a:ext uri="{FF2B5EF4-FFF2-40B4-BE49-F238E27FC236}">
                <a16:creationId xmlns:a16="http://schemas.microsoft.com/office/drawing/2014/main" id="{1BFA1C72-86A2-D312-C093-2E87D366D344}"/>
              </a:ext>
            </a:extLst>
          </xdr:cNvPr>
          <xdr:cNvSpPr/>
        </xdr:nvSpPr>
        <xdr:spPr>
          <a:xfrm>
            <a:off x="9505950" y="2705100"/>
            <a:ext cx="1581150"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Oval 7">
            <a:extLst>
              <a:ext uri="{FF2B5EF4-FFF2-40B4-BE49-F238E27FC236}">
                <a16:creationId xmlns:a16="http://schemas.microsoft.com/office/drawing/2014/main" id="{7A0652F5-A879-90FE-488F-67A5CCCF946E}"/>
              </a:ext>
            </a:extLst>
          </xdr:cNvPr>
          <xdr:cNvSpPr/>
        </xdr:nvSpPr>
        <xdr:spPr>
          <a:xfrm>
            <a:off x="9572625" y="3048000"/>
            <a:ext cx="257175"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190501</xdr:colOff>
      <xdr:row>80</xdr:row>
      <xdr:rowOff>38101</xdr:rowOff>
    </xdr:from>
    <xdr:to>
      <xdr:col>3</xdr:col>
      <xdr:colOff>1066800</xdr:colOff>
      <xdr:row>89</xdr:row>
      <xdr:rowOff>161926</xdr:rowOff>
    </xdr:to>
    <xdr:graphicFrame macro="">
      <xdr:nvGraphicFramePr>
        <xdr:cNvPr id="25" name="r_CostsVsBenefitsChart">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590550</xdr:colOff>
      <xdr:row>13</xdr:row>
      <xdr:rowOff>123825</xdr:rowOff>
    </xdr:from>
    <xdr:to>
      <xdr:col>10</xdr:col>
      <xdr:colOff>352425</xdr:colOff>
      <xdr:row>13</xdr:row>
      <xdr:rowOff>123825</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5791200" y="2190750"/>
          <a:ext cx="3581400" cy="0"/>
        </a:xfrm>
        <a:prstGeom prst="straightConnector1">
          <a:avLst/>
        </a:prstGeom>
        <a:ln w="15875">
          <a:solidFill>
            <a:srgbClr val="FF0000"/>
          </a:solidFill>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6</xdr:col>
      <xdr:colOff>142875</xdr:colOff>
      <xdr:row>1</xdr:row>
      <xdr:rowOff>47625</xdr:rowOff>
    </xdr:from>
    <xdr:to>
      <xdr:col>9</xdr:col>
      <xdr:colOff>327025</xdr:colOff>
      <xdr:row>6</xdr:row>
      <xdr:rowOff>36830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6610350" y="447675"/>
          <a:ext cx="2098675" cy="1741805"/>
        </a:xfrm>
        <a:prstGeom prst="rect">
          <a:avLst/>
        </a:prstGeom>
      </xdr:spPr>
    </xdr:pic>
    <xdr:clientData/>
  </xdr:twoCellAnchor>
  <xdr:twoCellAnchor>
    <xdr:from>
      <xdr:col>7</xdr:col>
      <xdr:colOff>438150</xdr:colOff>
      <xdr:row>66</xdr:row>
      <xdr:rowOff>161926</xdr:rowOff>
    </xdr:from>
    <xdr:to>
      <xdr:col>11</xdr:col>
      <xdr:colOff>542926</xdr:colOff>
      <xdr:row>76</xdr:row>
      <xdr:rowOff>190501</xdr:rowOff>
    </xdr:to>
    <xdr:graphicFrame macro="">
      <xdr:nvGraphicFramePr>
        <xdr:cNvPr id="18" name="Chart 5">
          <a:extLst>
            <a:ext uri="{FF2B5EF4-FFF2-40B4-BE49-F238E27FC236}">
              <a16:creationId xmlns:a16="http://schemas.microsoft.com/office/drawing/2014/main" id="{D71587FA-F288-838D-D5DE-0FD7FA9CB3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333375</xdr:colOff>
      <xdr:row>95</xdr:row>
      <xdr:rowOff>180975</xdr:rowOff>
    </xdr:from>
    <xdr:to>
      <xdr:col>3</xdr:col>
      <xdr:colOff>219075</xdr:colOff>
      <xdr:row>100</xdr:row>
      <xdr:rowOff>142875</xdr:rowOff>
    </xdr:to>
    <xdr:sp macro="" textlink="$E$85">
      <xdr:nvSpPr>
        <xdr:cNvPr id="26" name="r_ScrollShape">
          <a:extLst>
            <a:ext uri="{FF2B5EF4-FFF2-40B4-BE49-F238E27FC236}">
              <a16:creationId xmlns:a16="http://schemas.microsoft.com/office/drawing/2014/main" id="{974D0CDE-09BC-AA58-C10E-0E618B725CBA}"/>
            </a:ext>
          </a:extLst>
        </xdr:cNvPr>
        <xdr:cNvSpPr/>
      </xdr:nvSpPr>
      <xdr:spPr>
        <a:xfrm>
          <a:off x="714375" y="21507450"/>
          <a:ext cx="2171700" cy="962025"/>
        </a:xfrm>
        <a:prstGeom prst="horizontalScroll">
          <a:avLst>
            <a:gd name="adj" fmla="val 15470"/>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fld id="{FB444AC1-B0B0-49C3-B854-CEFBA82F5F13}" type="TxLink">
            <a:rPr lang="en-US" sz="1800" b="1" i="0" u="none" strike="noStrike">
              <a:solidFill>
                <a:sysClr val="windowText" lastClr="000000"/>
              </a:solidFill>
              <a:latin typeface="Arial"/>
              <a:cs typeface="Arial"/>
            </a:rPr>
            <a:pPr algn="ctr"/>
            <a:t>ROI = 396%</a:t>
          </a:fld>
          <a:endParaRPr lang="en-US" sz="18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376236</xdr:colOff>
      <xdr:row>18</xdr:row>
      <xdr:rowOff>47625</xdr:rowOff>
    </xdr:from>
    <xdr:to>
      <xdr:col>8</xdr:col>
      <xdr:colOff>142875</xdr:colOff>
      <xdr:row>30</xdr:row>
      <xdr:rowOff>0</xdr:rowOff>
    </xdr:to>
    <xdr:graphicFrame macro="">
      <xdr:nvGraphicFramePr>
        <xdr:cNvPr id="2" name="r_ChartWithContent">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157162</xdr:colOff>
      <xdr:row>4</xdr:row>
      <xdr:rowOff>19051</xdr:rowOff>
    </xdr:from>
    <xdr:to>
      <xdr:col>5</xdr:col>
      <xdr:colOff>0</xdr:colOff>
      <xdr:row>10</xdr:row>
      <xdr:rowOff>95251</xdr:rowOff>
    </xdr:to>
    <xdr:graphicFrame macro="">
      <xdr:nvGraphicFramePr>
        <xdr:cNvPr id="3" name="r_Chart">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38100</xdr:colOff>
      <xdr:row>4</xdr:row>
      <xdr:rowOff>161925</xdr:rowOff>
    </xdr:from>
    <xdr:to>
      <xdr:col>11</xdr:col>
      <xdr:colOff>571763</xdr:colOff>
      <xdr:row>20</xdr:row>
      <xdr:rowOff>38666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6200775" y="2514600"/>
          <a:ext cx="1886213" cy="405821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1.xml><?xml version="1.0" encoding="utf-8"?>
<c:userShapes xmlns:c="http://schemas.openxmlformats.org/drawingml/2006/chart">
  <cdr:relSizeAnchor xmlns:cdr="http://schemas.openxmlformats.org/drawingml/2006/chartDrawing">
    <cdr:from>
      <cdr:x>0.2279</cdr:x>
      <cdr:y>0.2118</cdr:y>
    </cdr:from>
    <cdr:to>
      <cdr:x>0.67213</cdr:x>
      <cdr:y>0.33333</cdr:y>
    </cdr:to>
    <cdr:sp macro="" textlink="PerfText">
      <cdr:nvSpPr>
        <cdr:cNvPr id="2" name="TextBox 2">
          <a:extLst xmlns:a="http://schemas.openxmlformats.org/drawingml/2006/main">
            <a:ext uri="{FF2B5EF4-FFF2-40B4-BE49-F238E27FC236}">
              <a16:creationId xmlns:a16="http://schemas.microsoft.com/office/drawing/2014/main" id="{67B62ED3-FD57-4AD6-AA46-A2BE93DE6C5E}"/>
            </a:ext>
          </a:extLst>
        </cdr:cNvPr>
        <cdr:cNvSpPr txBox="1"/>
      </cdr:nvSpPr>
      <cdr:spPr>
        <a:xfrm xmlns:a="http://schemas.openxmlformats.org/drawingml/2006/main">
          <a:off x="728280" y="470053"/>
          <a:ext cx="1419599" cy="269715"/>
        </a:xfrm>
        <a:prstGeom xmlns:a="http://schemas.openxmlformats.org/drawingml/2006/main" prst="rect">
          <a:avLst/>
        </a:prstGeom>
        <a:solidFill xmlns:a="http://schemas.openxmlformats.org/drawingml/2006/main">
          <a:srgbClr val="FFFFFF">
            <a:alpha val="50196"/>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F95B8DBD-D3B5-4475-BB2D-3C33586104EA}" type="TxLink">
            <a:rPr lang="en-US" sz="1200" b="1" i="0" u="none" strike="noStrike">
              <a:solidFill>
                <a:srgbClr val="000000"/>
              </a:solidFill>
              <a:latin typeface="Calibri"/>
              <a:cs typeface="Calibri"/>
            </a:rPr>
            <a:pPr algn="ctr"/>
            <a:t>Growth Rate:  70%</a:t>
          </a:fld>
          <a:endParaRPr lang="en-US" sz="1200" b="1">
            <a:solidFill>
              <a:schemeClr val="tx1">
                <a:lumMod val="50000"/>
                <a:lumOff val="50000"/>
              </a:schemeClr>
            </a:solidFill>
          </a:endParaRPr>
        </a:p>
      </cdr:txBody>
    </cdr:sp>
  </cdr:relSizeAnchor>
  <cdr:relSizeAnchor xmlns:cdr="http://schemas.openxmlformats.org/drawingml/2006/chartDrawing">
    <cdr:from>
      <cdr:x>0.6687</cdr:x>
      <cdr:y>0.35336</cdr:y>
    </cdr:from>
    <cdr:to>
      <cdr:x>0.95484</cdr:x>
      <cdr:y>0.76538</cdr:y>
    </cdr:to>
    <cdr:pic>
      <cdr:nvPicPr>
        <cdr:cNvPr id="5" name="Graphic 4" descr="Money">
          <a:extLst xmlns:a="http://schemas.openxmlformats.org/drawingml/2006/main">
            <a:ext uri="{FF2B5EF4-FFF2-40B4-BE49-F238E27FC236}">
              <a16:creationId xmlns:a16="http://schemas.microsoft.com/office/drawing/2014/main" id="{82FFE3C9-B996-4EDF-9086-77BE33A85D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105063" y="784223"/>
          <a:ext cx="900773" cy="914406"/>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6</xdr:col>
      <xdr:colOff>571500</xdr:colOff>
      <xdr:row>41</xdr:row>
      <xdr:rowOff>95250</xdr:rowOff>
    </xdr:from>
    <xdr:to>
      <xdr:col>9</xdr:col>
      <xdr:colOff>1257683</xdr:colOff>
      <xdr:row>53</xdr:row>
      <xdr:rowOff>95585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124325" y="9201150"/>
          <a:ext cx="2743583" cy="240063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438150</xdr:colOff>
      <xdr:row>13</xdr:row>
      <xdr:rowOff>47625</xdr:rowOff>
    </xdr:from>
    <xdr:to>
      <xdr:col>10</xdr:col>
      <xdr:colOff>409979</xdr:colOff>
      <xdr:row>34</xdr:row>
      <xdr:rowOff>48283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048375" y="3152775"/>
          <a:ext cx="2896004" cy="47155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342900</xdr:colOff>
      <xdr:row>11</xdr:row>
      <xdr:rowOff>133351</xdr:rowOff>
    </xdr:from>
    <xdr:to>
      <xdr:col>9</xdr:col>
      <xdr:colOff>219075</xdr:colOff>
      <xdr:row>17</xdr:row>
      <xdr:rowOff>19051</xdr:rowOff>
    </xdr:to>
    <xdr:sp macro="" textlink="">
      <xdr:nvSpPr>
        <xdr:cNvPr id="5" name="Corners Rounded 4">
          <a:extLst>
            <a:ext uri="{FF2B5EF4-FFF2-40B4-BE49-F238E27FC236}">
              <a16:creationId xmlns:a16="http://schemas.microsoft.com/office/drawing/2014/main" id="{00000000-0008-0000-0900-000005000000}"/>
            </a:ext>
          </a:extLst>
        </xdr:cNvPr>
        <xdr:cNvSpPr/>
      </xdr:nvSpPr>
      <xdr:spPr>
        <a:xfrm>
          <a:off x="3895725" y="2714626"/>
          <a:ext cx="1933575" cy="1219200"/>
        </a:xfrm>
        <a:prstGeom prst="wedgeRoundRectCallout">
          <a:avLst>
            <a:gd name="adj1" fmla="val -188614"/>
            <a:gd name="adj2" fmla="val -28130"/>
            <a:gd name="adj3" fmla="val 16667"/>
          </a:avLst>
        </a:prstGeom>
        <a:solidFill>
          <a:srgbClr val="000000">
            <a:alpha val="25098"/>
          </a:srgbClr>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Tip: to hide the 'Row Labels' (top-left cell): Options &gt; Display &gt; uncheck 'Display field captions and filter drop downs'.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233362</xdr:colOff>
      <xdr:row>6</xdr:row>
      <xdr:rowOff>100241</xdr:rowOff>
    </xdr:from>
    <xdr:to>
      <xdr:col>1</xdr:col>
      <xdr:colOff>2009776</xdr:colOff>
      <xdr:row>13</xdr:row>
      <xdr:rowOff>114301</xdr:rowOff>
    </xdr:to>
    <xdr:grpSp>
      <xdr:nvGrpSpPr>
        <xdr:cNvPr id="3" name="r_ShapesWithData">
          <a:extLst>
            <a:ext uri="{FF2B5EF4-FFF2-40B4-BE49-F238E27FC236}">
              <a16:creationId xmlns:a16="http://schemas.microsoft.com/office/drawing/2014/main" id="{00000000-0008-0000-0A00-000003000000}"/>
            </a:ext>
          </a:extLst>
        </xdr:cNvPr>
        <xdr:cNvGrpSpPr/>
      </xdr:nvGrpSpPr>
      <xdr:grpSpPr>
        <a:xfrm>
          <a:off x="452437" y="2157641"/>
          <a:ext cx="1776414" cy="1442810"/>
          <a:chOff x="1366836" y="2338615"/>
          <a:chExt cx="3600451" cy="2742743"/>
        </a:xfrm>
      </xdr:grpSpPr>
      <xdr:sp macro="" textlink="$C$8">
        <xdr:nvSpPr>
          <xdr:cNvPr id="4" name="Freeform: Shape 3">
            <a:extLst>
              <a:ext uri="{FF2B5EF4-FFF2-40B4-BE49-F238E27FC236}">
                <a16:creationId xmlns:a16="http://schemas.microsoft.com/office/drawing/2014/main" id="{00000000-0008-0000-0A00-000004000000}"/>
              </a:ext>
            </a:extLst>
          </xdr:cNvPr>
          <xdr:cNvSpPr/>
        </xdr:nvSpPr>
        <xdr:spPr>
          <a:xfrm>
            <a:off x="1366836" y="2338615"/>
            <a:ext cx="1000125" cy="1000125"/>
          </a:xfrm>
          <a:custGeom>
            <a:avLst/>
            <a:gdLst>
              <a:gd name="connsiteX0" fmla="*/ 0 w 1000125"/>
              <a:gd name="connsiteY0" fmla="*/ 500063 h 1000125"/>
              <a:gd name="connsiteX1" fmla="*/ 500063 w 1000125"/>
              <a:gd name="connsiteY1" fmla="*/ 0 h 1000125"/>
              <a:gd name="connsiteX2" fmla="*/ 1000126 w 1000125"/>
              <a:gd name="connsiteY2" fmla="*/ 500063 h 1000125"/>
              <a:gd name="connsiteX3" fmla="*/ 500063 w 1000125"/>
              <a:gd name="connsiteY3" fmla="*/ 1000126 h 1000125"/>
              <a:gd name="connsiteX4" fmla="*/ 0 w 1000125"/>
              <a:gd name="connsiteY4" fmla="*/ 500063 h 10001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0125" h="1000125">
                <a:moveTo>
                  <a:pt x="0" y="500063"/>
                </a:moveTo>
                <a:cubicBezTo>
                  <a:pt x="0" y="223886"/>
                  <a:pt x="223886" y="0"/>
                  <a:pt x="500063" y="0"/>
                </a:cubicBezTo>
                <a:cubicBezTo>
                  <a:pt x="776240" y="0"/>
                  <a:pt x="1000126" y="223886"/>
                  <a:pt x="1000126" y="500063"/>
                </a:cubicBezTo>
                <a:cubicBezTo>
                  <a:pt x="1000126" y="776240"/>
                  <a:pt x="776240" y="1000126"/>
                  <a:pt x="500063" y="1000126"/>
                </a:cubicBezTo>
                <a:cubicBezTo>
                  <a:pt x="223886" y="1000126"/>
                  <a:pt x="0" y="776240"/>
                  <a:pt x="0" y="500063"/>
                </a:cubicBezTo>
                <a:close/>
              </a:path>
            </a:pathLst>
          </a:cu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solidFill>
              <a:schemeClr val="bg2"/>
            </a:solidFill>
          </a:ln>
        </xdr:spPr>
        <xdr:style>
          <a:lnRef idx="0">
            <a:scrgbClr r="0" g="0" b="0"/>
          </a:lnRef>
          <a:fillRef idx="0">
            <a:scrgbClr r="0" g="0" b="0"/>
          </a:fillRef>
          <a:effectRef idx="0">
            <a:scrgbClr r="0" g="0" b="0"/>
          </a:effectRef>
          <a:fontRef idx="minor">
            <a:schemeClr val="lt1"/>
          </a:fontRef>
        </xdr:style>
        <xdr:txBody>
          <a:bodyPr spcFirstLastPara="0" vert="horz" wrap="square" lIns="199805" tIns="199805" rIns="199805" bIns="199805" numCol="1" spcCol="1270" anchor="ctr" anchorCtr="0">
            <a:noAutofit/>
          </a:bodyPr>
          <a:lstStyle/>
          <a:p>
            <a:pPr marL="0" lvl="0" indent="0" algn="ctr" defTabSz="1866900">
              <a:lnSpc>
                <a:spcPct val="90000"/>
              </a:lnSpc>
              <a:spcBef>
                <a:spcPct val="0"/>
              </a:spcBef>
              <a:spcAft>
                <a:spcPct val="35000"/>
              </a:spcAft>
              <a:buNone/>
            </a:pPr>
            <a:fld id="{FCE9ADC8-4BB0-42F3-BF76-E4EDBB763E81}" type="TxLink">
              <a:rPr lang="en-US" sz="4000" b="1" i="0" u="none" strike="noStrike" kern="1200">
                <a:solidFill>
                  <a:srgbClr val="000000"/>
                </a:solidFill>
                <a:latin typeface="Calibri"/>
                <a:cs typeface="Calibri"/>
              </a:rPr>
              <a:pPr marL="0" lvl="0" indent="0" algn="ctr" defTabSz="1866900">
                <a:lnSpc>
                  <a:spcPct val="90000"/>
                </a:lnSpc>
                <a:spcBef>
                  <a:spcPct val="0"/>
                </a:spcBef>
                <a:spcAft>
                  <a:spcPct val="35000"/>
                </a:spcAft>
                <a:buNone/>
              </a:pPr>
              <a:t>1</a:t>
            </a:fld>
            <a:endParaRPr lang="en-US" sz="9600" b="1" kern="1200"/>
          </a:p>
        </xdr:txBody>
      </xdr:sp>
      <xdr:sp macro="" textlink="">
        <xdr:nvSpPr>
          <xdr:cNvPr id="5" name="Freeform: Shape 4">
            <a:extLst>
              <a:ext uri="{FF2B5EF4-FFF2-40B4-BE49-F238E27FC236}">
                <a16:creationId xmlns:a16="http://schemas.microsoft.com/office/drawing/2014/main" id="{00000000-0008-0000-0A00-000005000000}"/>
              </a:ext>
            </a:extLst>
          </xdr:cNvPr>
          <xdr:cNvSpPr/>
        </xdr:nvSpPr>
        <xdr:spPr>
          <a:xfrm>
            <a:off x="1576863" y="3419950"/>
            <a:ext cx="580072" cy="580072"/>
          </a:xfrm>
          <a:custGeom>
            <a:avLst/>
            <a:gdLst>
              <a:gd name="connsiteX0" fmla="*/ 76889 w 580072"/>
              <a:gd name="connsiteY0" fmla="*/ 221820 h 580072"/>
              <a:gd name="connsiteX1" fmla="*/ 221820 w 580072"/>
              <a:gd name="connsiteY1" fmla="*/ 221820 h 580072"/>
              <a:gd name="connsiteX2" fmla="*/ 221820 w 580072"/>
              <a:gd name="connsiteY2" fmla="*/ 76889 h 580072"/>
              <a:gd name="connsiteX3" fmla="*/ 358252 w 580072"/>
              <a:gd name="connsiteY3" fmla="*/ 76889 h 580072"/>
              <a:gd name="connsiteX4" fmla="*/ 358252 w 580072"/>
              <a:gd name="connsiteY4" fmla="*/ 221820 h 580072"/>
              <a:gd name="connsiteX5" fmla="*/ 503183 w 580072"/>
              <a:gd name="connsiteY5" fmla="*/ 221820 h 580072"/>
              <a:gd name="connsiteX6" fmla="*/ 503183 w 580072"/>
              <a:gd name="connsiteY6" fmla="*/ 358252 h 580072"/>
              <a:gd name="connsiteX7" fmla="*/ 358252 w 580072"/>
              <a:gd name="connsiteY7" fmla="*/ 358252 h 580072"/>
              <a:gd name="connsiteX8" fmla="*/ 358252 w 580072"/>
              <a:gd name="connsiteY8" fmla="*/ 503183 h 580072"/>
              <a:gd name="connsiteX9" fmla="*/ 221820 w 580072"/>
              <a:gd name="connsiteY9" fmla="*/ 503183 h 580072"/>
              <a:gd name="connsiteX10" fmla="*/ 221820 w 580072"/>
              <a:gd name="connsiteY10" fmla="*/ 358252 h 580072"/>
              <a:gd name="connsiteX11" fmla="*/ 76889 w 580072"/>
              <a:gd name="connsiteY11" fmla="*/ 358252 h 580072"/>
              <a:gd name="connsiteX12" fmla="*/ 76889 w 580072"/>
              <a:gd name="connsiteY12" fmla="*/ 221820 h 5800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80072" h="580072">
                <a:moveTo>
                  <a:pt x="76889" y="221820"/>
                </a:moveTo>
                <a:lnTo>
                  <a:pt x="221820" y="221820"/>
                </a:lnTo>
                <a:lnTo>
                  <a:pt x="221820" y="76889"/>
                </a:lnTo>
                <a:lnTo>
                  <a:pt x="358252" y="76889"/>
                </a:lnTo>
                <a:lnTo>
                  <a:pt x="358252" y="221820"/>
                </a:lnTo>
                <a:lnTo>
                  <a:pt x="503183" y="221820"/>
                </a:lnTo>
                <a:lnTo>
                  <a:pt x="503183" y="358252"/>
                </a:lnTo>
                <a:lnTo>
                  <a:pt x="358252" y="358252"/>
                </a:lnTo>
                <a:lnTo>
                  <a:pt x="358252" y="503183"/>
                </a:lnTo>
                <a:lnTo>
                  <a:pt x="221820" y="503183"/>
                </a:lnTo>
                <a:lnTo>
                  <a:pt x="221820" y="358252"/>
                </a:lnTo>
                <a:lnTo>
                  <a:pt x="76889" y="358252"/>
                </a:lnTo>
                <a:lnTo>
                  <a:pt x="76889" y="221820"/>
                </a:lnTo>
                <a:close/>
              </a:path>
            </a:pathLst>
          </a:custGeom>
          <a:ln>
            <a:solidFill>
              <a:schemeClr val="bg2"/>
            </a:solidFill>
          </a:ln>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spcFirstLastPara="0" vert="horz" wrap="square" lIns="76889" tIns="221820" rIns="76889" bIns="221820" numCol="1" spcCol="1270" anchor="ctr" anchorCtr="0">
            <a:noAutofit/>
          </a:bodyPr>
          <a:lstStyle/>
          <a:p>
            <a:pPr marL="0" lvl="0" indent="0" algn="ctr" defTabSz="400050">
              <a:lnSpc>
                <a:spcPct val="90000"/>
              </a:lnSpc>
              <a:spcBef>
                <a:spcPct val="0"/>
              </a:spcBef>
              <a:spcAft>
                <a:spcPct val="35000"/>
              </a:spcAft>
              <a:buNone/>
            </a:pPr>
            <a:endParaRPr lang="en-US" sz="300" b="1" kern="1200"/>
          </a:p>
        </xdr:txBody>
      </xdr:sp>
      <xdr:sp macro="" textlink="$C$9">
        <xdr:nvSpPr>
          <xdr:cNvPr id="6" name="Freeform: Shape 5">
            <a:extLst>
              <a:ext uri="{FF2B5EF4-FFF2-40B4-BE49-F238E27FC236}">
                <a16:creationId xmlns:a16="http://schemas.microsoft.com/office/drawing/2014/main" id="{00000000-0008-0000-0A00-000006000000}"/>
              </a:ext>
            </a:extLst>
          </xdr:cNvPr>
          <xdr:cNvSpPr/>
        </xdr:nvSpPr>
        <xdr:spPr>
          <a:xfrm>
            <a:off x="1366836" y="4081233"/>
            <a:ext cx="1000125" cy="1000125"/>
          </a:xfrm>
          <a:custGeom>
            <a:avLst/>
            <a:gdLst>
              <a:gd name="connsiteX0" fmla="*/ 0 w 1000125"/>
              <a:gd name="connsiteY0" fmla="*/ 500063 h 1000125"/>
              <a:gd name="connsiteX1" fmla="*/ 500063 w 1000125"/>
              <a:gd name="connsiteY1" fmla="*/ 0 h 1000125"/>
              <a:gd name="connsiteX2" fmla="*/ 1000126 w 1000125"/>
              <a:gd name="connsiteY2" fmla="*/ 500063 h 1000125"/>
              <a:gd name="connsiteX3" fmla="*/ 500063 w 1000125"/>
              <a:gd name="connsiteY3" fmla="*/ 1000126 h 1000125"/>
              <a:gd name="connsiteX4" fmla="*/ 0 w 1000125"/>
              <a:gd name="connsiteY4" fmla="*/ 500063 h 10001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0125" h="1000125">
                <a:moveTo>
                  <a:pt x="0" y="500063"/>
                </a:moveTo>
                <a:cubicBezTo>
                  <a:pt x="0" y="223886"/>
                  <a:pt x="223886" y="0"/>
                  <a:pt x="500063" y="0"/>
                </a:cubicBezTo>
                <a:cubicBezTo>
                  <a:pt x="776240" y="0"/>
                  <a:pt x="1000126" y="223886"/>
                  <a:pt x="1000126" y="500063"/>
                </a:cubicBezTo>
                <a:cubicBezTo>
                  <a:pt x="1000126" y="776240"/>
                  <a:pt x="776240" y="1000126"/>
                  <a:pt x="500063" y="1000126"/>
                </a:cubicBezTo>
                <a:cubicBezTo>
                  <a:pt x="223886" y="1000126"/>
                  <a:pt x="0" y="776240"/>
                  <a:pt x="0" y="500063"/>
                </a:cubicBezTo>
                <a:close/>
              </a:path>
            </a:pathLst>
          </a:cu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solidFill>
              <a:schemeClr val="bg2"/>
            </a:solidFill>
          </a:ln>
        </xdr:spPr>
        <xdr:style>
          <a:lnRef idx="0">
            <a:scrgbClr r="0" g="0" b="0"/>
          </a:lnRef>
          <a:fillRef idx="0">
            <a:scrgbClr r="0" g="0" b="0"/>
          </a:fillRef>
          <a:effectRef idx="0">
            <a:scrgbClr r="0" g="0" b="0"/>
          </a:effectRef>
          <a:fontRef idx="minor">
            <a:schemeClr val="lt1"/>
          </a:fontRef>
        </xdr:style>
        <xdr:txBody>
          <a:bodyPr spcFirstLastPara="0" vert="horz" wrap="square" lIns="174405" tIns="174405" rIns="174405" bIns="174405" numCol="1" spcCol="1270" anchor="ctr" anchorCtr="0">
            <a:noAutofit/>
          </a:bodyPr>
          <a:lstStyle/>
          <a:p>
            <a:pPr marL="0" lvl="0" indent="0" algn="ctr" defTabSz="977900">
              <a:lnSpc>
                <a:spcPct val="90000"/>
              </a:lnSpc>
              <a:spcBef>
                <a:spcPct val="0"/>
              </a:spcBef>
              <a:spcAft>
                <a:spcPct val="35000"/>
              </a:spcAft>
              <a:buNone/>
            </a:pPr>
            <a:fld id="{14025B9A-A76F-4A11-8FE7-8661E087209B}" type="TxLink">
              <a:rPr lang="en-US" sz="4000" b="1" i="0" u="none" strike="noStrike" kern="1200">
                <a:solidFill>
                  <a:srgbClr val="000000"/>
                </a:solidFill>
                <a:latin typeface="Calibri"/>
                <a:cs typeface="Calibri"/>
              </a:rPr>
              <a:pPr marL="0" lvl="0" indent="0" algn="ctr" defTabSz="977900">
                <a:lnSpc>
                  <a:spcPct val="90000"/>
                </a:lnSpc>
                <a:spcBef>
                  <a:spcPct val="0"/>
                </a:spcBef>
                <a:spcAft>
                  <a:spcPct val="35000"/>
                </a:spcAft>
                <a:buNone/>
              </a:pPr>
              <a:t>3</a:t>
            </a:fld>
            <a:endParaRPr lang="en-US" sz="6000" b="1" kern="1200"/>
          </a:p>
        </xdr:txBody>
      </xdr:sp>
      <xdr:sp macro="" textlink="">
        <xdr:nvSpPr>
          <xdr:cNvPr id="7" name="Freeform: Shape 6">
            <a:extLst>
              <a:ext uri="{FF2B5EF4-FFF2-40B4-BE49-F238E27FC236}">
                <a16:creationId xmlns:a16="http://schemas.microsoft.com/office/drawing/2014/main" id="{00000000-0008-0000-0A00-000007000000}"/>
              </a:ext>
            </a:extLst>
          </xdr:cNvPr>
          <xdr:cNvSpPr/>
        </xdr:nvSpPr>
        <xdr:spPr>
          <a:xfrm>
            <a:off x="2516980" y="3523963"/>
            <a:ext cx="318039" cy="372046"/>
          </a:xfrm>
          <a:custGeom>
            <a:avLst/>
            <a:gdLst>
              <a:gd name="connsiteX0" fmla="*/ 0 w 318039"/>
              <a:gd name="connsiteY0" fmla="*/ 74409 h 372046"/>
              <a:gd name="connsiteX1" fmla="*/ 159020 w 318039"/>
              <a:gd name="connsiteY1" fmla="*/ 74409 h 372046"/>
              <a:gd name="connsiteX2" fmla="*/ 159020 w 318039"/>
              <a:gd name="connsiteY2" fmla="*/ 0 h 372046"/>
              <a:gd name="connsiteX3" fmla="*/ 318039 w 318039"/>
              <a:gd name="connsiteY3" fmla="*/ 186023 h 372046"/>
              <a:gd name="connsiteX4" fmla="*/ 159020 w 318039"/>
              <a:gd name="connsiteY4" fmla="*/ 372046 h 372046"/>
              <a:gd name="connsiteX5" fmla="*/ 159020 w 318039"/>
              <a:gd name="connsiteY5" fmla="*/ 297637 h 372046"/>
              <a:gd name="connsiteX6" fmla="*/ 0 w 318039"/>
              <a:gd name="connsiteY6" fmla="*/ 297637 h 372046"/>
              <a:gd name="connsiteX7" fmla="*/ 0 w 318039"/>
              <a:gd name="connsiteY7" fmla="*/ 74409 h 3720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18039" h="372046">
                <a:moveTo>
                  <a:pt x="0" y="74409"/>
                </a:moveTo>
                <a:lnTo>
                  <a:pt x="159020" y="74409"/>
                </a:lnTo>
                <a:lnTo>
                  <a:pt x="159020" y="0"/>
                </a:lnTo>
                <a:lnTo>
                  <a:pt x="318039" y="186023"/>
                </a:lnTo>
                <a:lnTo>
                  <a:pt x="159020" y="372046"/>
                </a:lnTo>
                <a:lnTo>
                  <a:pt x="159020" y="297637"/>
                </a:lnTo>
                <a:lnTo>
                  <a:pt x="0" y="297637"/>
                </a:lnTo>
                <a:lnTo>
                  <a:pt x="0" y="74409"/>
                </a:lnTo>
                <a:close/>
              </a:path>
            </a:pathLst>
          </a:custGeom>
          <a:ln>
            <a:solidFill>
              <a:schemeClr val="bg2"/>
            </a:solidFill>
          </a:ln>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spcFirstLastPara="0" vert="horz" wrap="square" lIns="0" tIns="74409" rIns="95412" bIns="74409" numCol="1" spcCol="1270" anchor="ctr" anchorCtr="0">
            <a:noAutofit/>
          </a:bodyPr>
          <a:lstStyle/>
          <a:p>
            <a:pPr marL="0" lvl="0" indent="0" algn="ctr" defTabSz="711200">
              <a:lnSpc>
                <a:spcPct val="90000"/>
              </a:lnSpc>
              <a:spcBef>
                <a:spcPct val="0"/>
              </a:spcBef>
              <a:spcAft>
                <a:spcPct val="35000"/>
              </a:spcAft>
              <a:buNone/>
            </a:pPr>
            <a:endParaRPr lang="en-US" sz="900" b="1" kern="1200"/>
          </a:p>
        </xdr:txBody>
      </xdr:sp>
      <xdr:sp macro="" textlink="$C$10">
        <xdr:nvSpPr>
          <xdr:cNvPr id="8" name="Freeform: Shape 7">
            <a:extLst>
              <a:ext uri="{FF2B5EF4-FFF2-40B4-BE49-F238E27FC236}">
                <a16:creationId xmlns:a16="http://schemas.microsoft.com/office/drawing/2014/main" id="{00000000-0008-0000-0A00-000008000000}"/>
              </a:ext>
            </a:extLst>
          </xdr:cNvPr>
          <xdr:cNvSpPr/>
        </xdr:nvSpPr>
        <xdr:spPr>
          <a:xfrm>
            <a:off x="2967037" y="2709862"/>
            <a:ext cx="2000250" cy="2000250"/>
          </a:xfrm>
          <a:custGeom>
            <a:avLst/>
            <a:gdLst>
              <a:gd name="connsiteX0" fmla="*/ 0 w 2000250"/>
              <a:gd name="connsiteY0" fmla="*/ 1000125 h 2000250"/>
              <a:gd name="connsiteX1" fmla="*/ 1000125 w 2000250"/>
              <a:gd name="connsiteY1" fmla="*/ 0 h 2000250"/>
              <a:gd name="connsiteX2" fmla="*/ 2000250 w 2000250"/>
              <a:gd name="connsiteY2" fmla="*/ 1000125 h 2000250"/>
              <a:gd name="connsiteX3" fmla="*/ 1000125 w 2000250"/>
              <a:gd name="connsiteY3" fmla="*/ 2000250 h 2000250"/>
              <a:gd name="connsiteX4" fmla="*/ 0 w 2000250"/>
              <a:gd name="connsiteY4" fmla="*/ 1000125 h 20002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0250" h="2000250">
                <a:moveTo>
                  <a:pt x="0" y="1000125"/>
                </a:moveTo>
                <a:cubicBezTo>
                  <a:pt x="0" y="447771"/>
                  <a:pt x="447771" y="0"/>
                  <a:pt x="1000125" y="0"/>
                </a:cubicBezTo>
                <a:cubicBezTo>
                  <a:pt x="1552479" y="0"/>
                  <a:pt x="2000250" y="447771"/>
                  <a:pt x="2000250" y="1000125"/>
                </a:cubicBezTo>
                <a:cubicBezTo>
                  <a:pt x="2000250" y="1552479"/>
                  <a:pt x="1552479" y="2000250"/>
                  <a:pt x="1000125" y="2000250"/>
                </a:cubicBezTo>
                <a:cubicBezTo>
                  <a:pt x="447771" y="2000250"/>
                  <a:pt x="0" y="1552479"/>
                  <a:pt x="0" y="1000125"/>
                </a:cubicBezTo>
                <a:close/>
              </a:path>
            </a:pathLst>
          </a:cu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solidFill>
              <a:schemeClr val="bg2"/>
            </a:solidFill>
          </a:ln>
        </xdr:spPr>
        <xdr:style>
          <a:lnRef idx="0">
            <a:scrgbClr r="0" g="0" b="0"/>
          </a:lnRef>
          <a:fillRef idx="0">
            <a:scrgbClr r="0" g="0" b="0"/>
          </a:fillRef>
          <a:effectRef idx="0">
            <a:scrgbClr r="0" g="0" b="0"/>
          </a:effectRef>
          <a:fontRef idx="minor">
            <a:schemeClr val="lt1"/>
          </a:fontRef>
        </xdr:style>
        <xdr:txBody>
          <a:bodyPr spcFirstLastPara="0" vert="horz" wrap="square" lIns="350080" tIns="350080" rIns="350080" bIns="350080" numCol="1" spcCol="1270" anchor="ctr" anchorCtr="0">
            <a:noAutofit/>
          </a:bodyPr>
          <a:lstStyle/>
          <a:p>
            <a:pPr marL="0" lvl="0" indent="0" algn="ctr" defTabSz="2000250">
              <a:lnSpc>
                <a:spcPct val="90000"/>
              </a:lnSpc>
              <a:spcBef>
                <a:spcPct val="0"/>
              </a:spcBef>
              <a:spcAft>
                <a:spcPct val="35000"/>
              </a:spcAft>
              <a:buNone/>
            </a:pPr>
            <a:fld id="{F6A03B58-815F-4C3B-BBF5-61DBA6D6DAB6}" type="TxLink">
              <a:rPr lang="en-US" sz="4800" b="1" i="0" u="none" strike="noStrike" kern="1200">
                <a:solidFill>
                  <a:srgbClr val="000000"/>
                </a:solidFill>
                <a:latin typeface="Calibri"/>
                <a:cs typeface="Calibri"/>
              </a:rPr>
              <a:pPr marL="0" lvl="0" indent="0" algn="ctr" defTabSz="2000250">
                <a:lnSpc>
                  <a:spcPct val="90000"/>
                </a:lnSpc>
                <a:spcBef>
                  <a:spcPct val="0"/>
                </a:spcBef>
                <a:spcAft>
                  <a:spcPct val="35000"/>
                </a:spcAft>
                <a:buNone/>
              </a:pPr>
              <a:t>4</a:t>
            </a:fld>
            <a:endParaRPr lang="en-US" sz="16600" b="1" kern="1200"/>
          </a:p>
        </xdr:txBody>
      </xdr:sp>
    </xdr:grpSp>
    <xdr:clientData/>
  </xdr:twoCellAnchor>
  <xdr:oneCellAnchor>
    <xdr:from>
      <xdr:col>1</xdr:col>
      <xdr:colOff>209867</xdr:colOff>
      <xdr:row>16</xdr:row>
      <xdr:rowOff>119126</xdr:rowOff>
    </xdr:from>
    <xdr:ext cx="2571115" cy="457073"/>
    <mc:AlternateContent xmlns:mc="http://schemas.openxmlformats.org/markup-compatibility/2006" xmlns:a14="http://schemas.microsoft.com/office/drawing/2010/main">
      <mc:Choice Requires="a14">
        <xdr:sp macro="" textlink="">
          <xdr:nvSpPr>
            <xdr:cNvPr id="9" name="r_Equation">
              <a:extLst>
                <a:ext uri="{FF2B5EF4-FFF2-40B4-BE49-F238E27FC236}">
                  <a16:creationId xmlns:a16="http://schemas.microsoft.com/office/drawing/2014/main" id="{00000000-0008-0000-0A00-000009000000}"/>
                </a:ext>
              </a:extLst>
            </xdr:cNvPr>
            <xdr:cNvSpPr txBox="1"/>
          </xdr:nvSpPr>
          <xdr:spPr>
            <a:xfrm>
              <a:off x="428942" y="4205351"/>
              <a:ext cx="2571115" cy="457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rPr>
                      <m:t>𝑓</m:t>
                    </m:r>
                    <m:d>
                      <m:dPr>
                        <m:ctrlPr>
                          <a:rPr lang="en-US" sz="1100" i="1">
                            <a:latin typeface="Cambria Math" panose="02040503050406030204" pitchFamily="18" charset="0"/>
                          </a:rPr>
                        </m:ctrlPr>
                      </m:dPr>
                      <m:e>
                        <m:r>
                          <a:rPr lang="en-US" sz="1100" i="1">
                            <a:latin typeface="Cambria Math" panose="02040503050406030204" pitchFamily="18" charset="0"/>
                          </a:rPr>
                          <m:t>𝑥</m:t>
                        </m:r>
                      </m:e>
                    </m:d>
                    <m:r>
                      <a:rPr lang="en-US" sz="1100" i="1">
                        <a:latin typeface="Cambria Math" panose="02040503050406030204" pitchFamily="18" charset="0"/>
                      </a:rPr>
                      <m:t>=</m:t>
                    </m:r>
                    <m:sSub>
                      <m:sSubPr>
                        <m:ctrlPr>
                          <a:rPr lang="en-US" sz="1100" i="1">
                            <a:latin typeface="Cambria Math" panose="02040503050406030204" pitchFamily="18" charset="0"/>
                          </a:rPr>
                        </m:ctrlPr>
                      </m:sSubPr>
                      <m:e>
                        <m:r>
                          <a:rPr lang="en-US" sz="1100" i="1">
                            <a:latin typeface="Cambria Math" panose="02040503050406030204" pitchFamily="18" charset="0"/>
                          </a:rPr>
                          <m:t>𝑎</m:t>
                        </m:r>
                      </m:e>
                      <m:sub>
                        <m:r>
                          <a:rPr lang="en-US" sz="1100" i="1">
                            <a:latin typeface="Cambria Math" panose="02040503050406030204" pitchFamily="18" charset="0"/>
                          </a:rPr>
                          <m:t>0</m:t>
                        </m:r>
                      </m:sub>
                    </m:sSub>
                    <m:r>
                      <a:rPr lang="en-US" sz="1100" i="1">
                        <a:latin typeface="Cambria Math" panose="02040503050406030204" pitchFamily="18" charset="0"/>
                      </a:rPr>
                      <m:t>+</m:t>
                    </m:r>
                    <m:nary>
                      <m:naryPr>
                        <m:chr m:val="∑"/>
                        <m:ctrlPr>
                          <a:rPr lang="en-US" sz="1100" i="1">
                            <a:latin typeface="Cambria Math" panose="02040503050406030204" pitchFamily="18" charset="0"/>
                          </a:rPr>
                        </m:ctrlPr>
                      </m:naryPr>
                      <m:sub>
                        <m:r>
                          <a:rPr lang="en-US" sz="1100" i="1">
                            <a:latin typeface="Cambria Math" panose="02040503050406030204" pitchFamily="18" charset="0"/>
                          </a:rPr>
                          <m:t>𝑛</m:t>
                        </m:r>
                        <m:r>
                          <a:rPr lang="en-US" sz="1100" i="1">
                            <a:latin typeface="Cambria Math" panose="02040503050406030204" pitchFamily="18" charset="0"/>
                          </a:rPr>
                          <m:t>=1</m:t>
                        </m:r>
                      </m:sub>
                      <m:sup>
                        <m:r>
                          <a:rPr lang="en-US" sz="1100" i="1">
                            <a:latin typeface="Cambria Math" panose="02040503050406030204" pitchFamily="18" charset="0"/>
                          </a:rPr>
                          <m:t>∞</m:t>
                        </m:r>
                      </m:sup>
                      <m:e>
                        <m:d>
                          <m:dPr>
                            <m:ctrlPr>
                              <a:rPr lang="en-US" sz="1100" i="1">
                                <a:latin typeface="Cambria Math" panose="02040503050406030204" pitchFamily="18" charset="0"/>
                              </a:rPr>
                            </m:ctrlPr>
                          </m:dPr>
                          <m:e>
                            <m:sSub>
                              <m:sSubPr>
                                <m:ctrlPr>
                                  <a:rPr lang="en-US" sz="1100" i="1">
                                    <a:latin typeface="Cambria Math" panose="02040503050406030204" pitchFamily="18" charset="0"/>
                                  </a:rPr>
                                </m:ctrlPr>
                              </m:sSubPr>
                              <m:e>
                                <m:r>
                                  <a:rPr lang="en-US" sz="1100" i="1">
                                    <a:latin typeface="Cambria Math" panose="02040503050406030204" pitchFamily="18" charset="0"/>
                                  </a:rPr>
                                  <m:t>𝑎</m:t>
                                </m:r>
                              </m:e>
                              <m:sub>
                                <m:r>
                                  <a:rPr lang="en-US" sz="1100" i="1">
                                    <a:latin typeface="Cambria Math" panose="02040503050406030204" pitchFamily="18" charset="0"/>
                                  </a:rPr>
                                  <m:t>𝑛</m:t>
                                </m:r>
                              </m:sub>
                            </m:sSub>
                            <m:func>
                              <m:funcPr>
                                <m:ctrlPr>
                                  <a:rPr lang="en-US" sz="1100" i="1">
                                    <a:latin typeface="Cambria Math" panose="02040503050406030204" pitchFamily="18" charset="0"/>
                                  </a:rPr>
                                </m:ctrlPr>
                              </m:funcPr>
                              <m:fName>
                                <m:r>
                                  <m:rPr>
                                    <m:sty m:val="p"/>
                                  </m:rPr>
                                  <a:rPr lang="en-US" sz="1100" i="0">
                                    <a:latin typeface="Cambria Math" panose="02040503050406030204" pitchFamily="18" charset="0"/>
                                  </a:rPr>
                                  <m:t>cos</m:t>
                                </m:r>
                              </m:fName>
                              <m:e>
                                <m:f>
                                  <m:fPr>
                                    <m:ctrlPr>
                                      <a:rPr lang="en-US" sz="1100" i="1">
                                        <a:latin typeface="Cambria Math" panose="02040503050406030204" pitchFamily="18" charset="0"/>
                                      </a:rPr>
                                    </m:ctrlPr>
                                  </m:fPr>
                                  <m:num>
                                    <m:r>
                                      <a:rPr lang="en-US" sz="1100" i="1">
                                        <a:latin typeface="Cambria Math" panose="02040503050406030204" pitchFamily="18" charset="0"/>
                                      </a:rPr>
                                      <m:t>𝑛</m:t>
                                    </m:r>
                                    <m:r>
                                      <a:rPr lang="el-GR" sz="1100" i="1">
                                        <a:latin typeface="Cambria Math" panose="02040503050406030204" pitchFamily="18" charset="0"/>
                                      </a:rPr>
                                      <m:t>𝜋</m:t>
                                    </m:r>
                                    <m:r>
                                      <a:rPr lang="en-US" sz="1100" i="1">
                                        <a:latin typeface="Cambria Math" panose="02040503050406030204" pitchFamily="18" charset="0"/>
                                      </a:rPr>
                                      <m:t>𝑥</m:t>
                                    </m:r>
                                  </m:num>
                                  <m:den>
                                    <m:r>
                                      <a:rPr lang="en-US" sz="1100" i="1">
                                        <a:latin typeface="Cambria Math" panose="02040503050406030204" pitchFamily="18" charset="0"/>
                                      </a:rPr>
                                      <m:t>𝐿</m:t>
                                    </m:r>
                                  </m:den>
                                </m:f>
                              </m:e>
                            </m:func>
                            <m:r>
                              <a:rPr lang="en-US" sz="1100" i="1">
                                <a:latin typeface="Cambria Math" panose="02040503050406030204" pitchFamily="18" charset="0"/>
                              </a:rPr>
                              <m:t>+</m:t>
                            </m:r>
                            <m:sSub>
                              <m:sSubPr>
                                <m:ctrlPr>
                                  <a:rPr lang="en-US" sz="1100" i="1">
                                    <a:latin typeface="Cambria Math" panose="02040503050406030204" pitchFamily="18" charset="0"/>
                                  </a:rPr>
                                </m:ctrlPr>
                              </m:sSubPr>
                              <m:e>
                                <m:r>
                                  <a:rPr lang="en-US" sz="1100" i="1">
                                    <a:latin typeface="Cambria Math" panose="02040503050406030204" pitchFamily="18" charset="0"/>
                                  </a:rPr>
                                  <m:t>𝑏</m:t>
                                </m:r>
                              </m:e>
                              <m:sub>
                                <m:r>
                                  <a:rPr lang="en-US" sz="1100" i="1">
                                    <a:latin typeface="Cambria Math" panose="02040503050406030204" pitchFamily="18" charset="0"/>
                                  </a:rPr>
                                  <m:t>𝑛</m:t>
                                </m:r>
                              </m:sub>
                            </m:sSub>
                            <m:func>
                              <m:funcPr>
                                <m:ctrlPr>
                                  <a:rPr lang="en-US" sz="1100" i="1">
                                    <a:latin typeface="Cambria Math" panose="02040503050406030204" pitchFamily="18" charset="0"/>
                                  </a:rPr>
                                </m:ctrlPr>
                              </m:funcPr>
                              <m:fName>
                                <m:r>
                                  <m:rPr>
                                    <m:sty m:val="p"/>
                                  </m:rPr>
                                  <a:rPr lang="en-US" sz="1100" i="0">
                                    <a:latin typeface="Cambria Math" panose="02040503050406030204" pitchFamily="18" charset="0"/>
                                  </a:rPr>
                                  <m:t>sin</m:t>
                                </m:r>
                              </m:fName>
                              <m:e>
                                <m:f>
                                  <m:fPr>
                                    <m:ctrlPr>
                                      <a:rPr lang="en-US" sz="1100" i="1">
                                        <a:latin typeface="Cambria Math" panose="02040503050406030204" pitchFamily="18" charset="0"/>
                                      </a:rPr>
                                    </m:ctrlPr>
                                  </m:fPr>
                                  <m:num>
                                    <m:r>
                                      <a:rPr lang="en-US" sz="1100" i="1">
                                        <a:latin typeface="Cambria Math" panose="02040503050406030204" pitchFamily="18" charset="0"/>
                                      </a:rPr>
                                      <m:t>𝑛</m:t>
                                    </m:r>
                                    <m:r>
                                      <a:rPr lang="el-GR" sz="1100" i="1">
                                        <a:latin typeface="Cambria Math" panose="02040503050406030204" pitchFamily="18" charset="0"/>
                                      </a:rPr>
                                      <m:t>𝜋</m:t>
                                    </m:r>
                                    <m:r>
                                      <a:rPr lang="en-US" sz="1100" i="1">
                                        <a:latin typeface="Cambria Math" panose="02040503050406030204" pitchFamily="18" charset="0"/>
                                      </a:rPr>
                                      <m:t>𝑥</m:t>
                                    </m:r>
                                  </m:num>
                                  <m:den>
                                    <m:r>
                                      <a:rPr lang="en-US" sz="1100" i="1">
                                        <a:latin typeface="Cambria Math" panose="02040503050406030204" pitchFamily="18" charset="0"/>
                                      </a:rPr>
                                      <m:t>𝐿</m:t>
                                    </m:r>
                                  </m:den>
                                </m:f>
                              </m:e>
                            </m:func>
                          </m:e>
                        </m:d>
                      </m:e>
                    </m:nary>
                  </m:oMath>
                </m:oMathPara>
              </a14:m>
              <a:endParaRPr lang="en-US" sz="1100"/>
            </a:p>
          </xdr:txBody>
        </xdr:sp>
      </mc:Choice>
      <mc:Fallback xmlns="">
        <xdr:sp macro="" textlink="">
          <xdr:nvSpPr>
            <xdr:cNvPr id="9" name="r_Equation">
              <a:extLst>
                <a:ext uri="{FF2B5EF4-FFF2-40B4-BE49-F238E27FC236}">
                  <a16:creationId xmlns:a16="http://schemas.microsoft.com/office/drawing/2014/main" id="{3AED05F6-7B11-8CAF-4295-C7A2007455D9}"/>
                </a:ext>
              </a:extLst>
            </xdr:cNvPr>
            <xdr:cNvSpPr txBox="1"/>
          </xdr:nvSpPr>
          <xdr:spPr>
            <a:xfrm>
              <a:off x="428942" y="4205351"/>
              <a:ext cx="2571115" cy="457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𝑓(𝑥)=𝑎_0+∑24_(𝑛=1)^∞▒(𝑎_𝑛  cos⁡〖𝑛</a:t>
              </a:r>
              <a:r>
                <a:rPr lang="el-GR" sz="1100" i="0">
                  <a:latin typeface="Cambria Math" panose="02040503050406030204" pitchFamily="18" charset="0"/>
                </a:rPr>
                <a:t>𝜋</a:t>
              </a:r>
              <a:r>
                <a:rPr lang="en-US" sz="1100" i="0">
                  <a:latin typeface="Cambria Math" panose="02040503050406030204" pitchFamily="18" charset="0"/>
                </a:rPr>
                <a:t>𝑥/𝐿〗+𝑏_𝑛  sin⁡〖𝑛</a:t>
              </a:r>
              <a:r>
                <a:rPr lang="el-GR" sz="1100" i="0">
                  <a:latin typeface="Cambria Math" panose="02040503050406030204" pitchFamily="18" charset="0"/>
                </a:rPr>
                <a:t>𝜋</a:t>
              </a:r>
              <a:r>
                <a:rPr lang="en-US" sz="1100" i="0">
                  <a:latin typeface="Cambria Math" panose="02040503050406030204" pitchFamily="18" charset="0"/>
                </a:rPr>
                <a:t>𝑥/𝐿〗 ) </a:t>
              </a:r>
              <a:endParaRPr lang="en-US" sz="1100"/>
            </a:p>
          </xdr:txBody>
        </xdr:sp>
      </mc:Fallback>
    </mc:AlternateContent>
    <xdr:clientData/>
  </xdr:oneCellAnchor>
  <xdr:twoCellAnchor>
    <xdr:from>
      <xdr:col>1</xdr:col>
      <xdr:colOff>952500</xdr:colOff>
      <xdr:row>23</xdr:row>
      <xdr:rowOff>21512</xdr:rowOff>
    </xdr:from>
    <xdr:to>
      <xdr:col>1</xdr:col>
      <xdr:colOff>3019425</xdr:colOff>
      <xdr:row>37</xdr:row>
      <xdr:rowOff>159899</xdr:rowOff>
    </xdr:to>
    <xdr:grpSp>
      <xdr:nvGrpSpPr>
        <xdr:cNvPr id="14" name="r_PictureWithText">
          <a:extLst>
            <a:ext uri="{FF2B5EF4-FFF2-40B4-BE49-F238E27FC236}">
              <a16:creationId xmlns:a16="http://schemas.microsoft.com/office/drawing/2014/main" id="{00000000-0008-0000-0A00-00000E000000}"/>
            </a:ext>
          </a:extLst>
        </xdr:cNvPr>
        <xdr:cNvGrpSpPr/>
      </xdr:nvGrpSpPr>
      <xdr:grpSpPr>
        <a:xfrm>
          <a:off x="1171575" y="5526962"/>
          <a:ext cx="2066925" cy="2938737"/>
          <a:chOff x="1209675" y="4984037"/>
          <a:chExt cx="2066925" cy="2938737"/>
        </a:xfrm>
      </xdr:grpSpPr>
      <xdr:pic>
        <xdr:nvPicPr>
          <xdr:cNvPr id="12" name="Picture 11" descr="Doctor holding sign">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09675" y="4984037"/>
            <a:ext cx="2066925" cy="2938737"/>
          </a:xfrm>
          <a:prstGeom prst="rect">
            <a:avLst/>
          </a:prstGeom>
        </xdr:spPr>
      </xdr:pic>
      <xdr:sp macro="" textlink="$C$23">
        <xdr:nvSpPr>
          <xdr:cNvPr id="13" name="Rectangle 12">
            <a:extLst>
              <a:ext uri="{FF2B5EF4-FFF2-40B4-BE49-F238E27FC236}">
                <a16:creationId xmlns:a16="http://schemas.microsoft.com/office/drawing/2014/main" id="{00000000-0008-0000-0A00-00000D000000}"/>
              </a:ext>
            </a:extLst>
          </xdr:cNvPr>
          <xdr:cNvSpPr/>
        </xdr:nvSpPr>
        <xdr:spPr>
          <a:xfrm>
            <a:off x="1314450" y="5676900"/>
            <a:ext cx="1552575" cy="10763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23FDB85F-EDD4-42A5-A78A-76629C550D24}" type="TxLink">
              <a:rPr lang="en-US" sz="1200" b="0" i="0" u="none" strike="noStrike">
                <a:solidFill>
                  <a:srgbClr val="000000"/>
                </a:solidFill>
                <a:latin typeface="Lucida Handwriting" panose="03010101010101010101" pitchFamily="66" charset="0"/>
                <a:cs typeface="Calibri"/>
              </a:rPr>
              <a:pPr algn="l"/>
              <a:t>35% Improvement
Great Job!!</a:t>
            </a:fld>
            <a:endParaRPr lang="en-US" sz="1100">
              <a:latin typeface="Lucida Handwriting" panose="03010101010101010101" pitchFamily="66"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28575</xdr:colOff>
      <xdr:row>11</xdr:row>
      <xdr:rowOff>28575</xdr:rowOff>
    </xdr:from>
    <xdr:ext cx="1942857" cy="1142857"/>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285875" y="9467850"/>
          <a:ext cx="1942857" cy="1142857"/>
        </a:xfrm>
        <a:prstGeom prst="rect">
          <a:avLst/>
        </a:prstGeom>
      </xdr:spPr>
    </xdr:pic>
    <xdr:clientData/>
  </xdr:oneCellAnchor>
  <xdr:oneCellAnchor>
    <xdr:from>
      <xdr:col>2</xdr:col>
      <xdr:colOff>28575</xdr:colOff>
      <xdr:row>14</xdr:row>
      <xdr:rowOff>28575</xdr:rowOff>
    </xdr:from>
    <xdr:ext cx="1942857" cy="1142857"/>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85875" y="13039725"/>
          <a:ext cx="1942857" cy="1142857"/>
        </a:xfrm>
        <a:prstGeom prst="rect">
          <a:avLst/>
        </a:prstGeom>
      </xdr:spPr>
    </xdr:pic>
    <xdr:clientData/>
  </xdr:oneCellAnchor>
  <xdr:oneCellAnchor>
    <xdr:from>
      <xdr:col>2</xdr:col>
      <xdr:colOff>28575</xdr:colOff>
      <xdr:row>12</xdr:row>
      <xdr:rowOff>28575</xdr:rowOff>
    </xdr:from>
    <xdr:ext cx="1942857" cy="1142857"/>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85875" y="10658475"/>
          <a:ext cx="1942857" cy="1142857"/>
        </a:xfrm>
        <a:prstGeom prst="rect">
          <a:avLst/>
        </a:prstGeom>
      </xdr:spPr>
    </xdr:pic>
    <xdr:clientData/>
  </xdr:oneCellAnchor>
  <xdr:oneCellAnchor>
    <xdr:from>
      <xdr:col>2</xdr:col>
      <xdr:colOff>28575</xdr:colOff>
      <xdr:row>13</xdr:row>
      <xdr:rowOff>28575</xdr:rowOff>
    </xdr:from>
    <xdr:ext cx="1942857" cy="1142857"/>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85875" y="11849100"/>
          <a:ext cx="1942857" cy="1142857"/>
        </a:xfrm>
        <a:prstGeom prst="rect">
          <a:avLst/>
        </a:prstGeom>
      </xdr:spPr>
    </xdr:pic>
    <xdr:clientData/>
  </xdr:oneCellAnchor>
  <mc:AlternateContent xmlns:mc="http://schemas.openxmlformats.org/markup-compatibility/2006">
    <mc:Choice xmlns:a14="http://schemas.microsoft.com/office/drawing/2010/main" Requires="a14">
      <xdr:oneCellAnchor>
        <xdr:from>
          <xdr:col>2</xdr:col>
          <xdr:colOff>9525</xdr:colOff>
          <xdr:row>7</xdr:row>
          <xdr:rowOff>19050</xdr:rowOff>
        </xdr:from>
        <xdr:ext cx="2009775" cy="1219200"/>
        <xdr:pic>
          <xdr:nvPicPr>
            <xdr:cNvPr id="6" name="Picture 5">
              <a:extLst>
                <a:ext uri="{FF2B5EF4-FFF2-40B4-BE49-F238E27FC236}">
                  <a16:creationId xmlns:a16="http://schemas.microsoft.com/office/drawing/2014/main" id="{00000000-0008-0000-0700-000006000000}"/>
                </a:ext>
              </a:extLst>
            </xdr:cNvPr>
            <xdr:cNvPicPr>
              <a:picLocks noChangeAspect="1" noChangeArrowheads="1"/>
              <a:extLst>
                <a:ext uri="{84589F7E-364E-4C9E-8A38-B11213B215E9}">
                  <a14:cameraTool cellRange="SelectedImage" spid="_x0000_s82017"/>
                </a:ext>
              </a:extLst>
            </xdr:cNvPicPr>
          </xdr:nvPicPr>
          <xdr:blipFill>
            <a:blip xmlns:r="http://schemas.openxmlformats.org/officeDocument/2006/relationships" r:embed="rId5"/>
            <a:srcRect/>
            <a:stretch>
              <a:fillRect/>
            </a:stretch>
          </xdr:blipFill>
          <xdr:spPr bwMode="auto">
            <a:xfrm>
              <a:off x="1381125" y="2066925"/>
              <a:ext cx="2009775" cy="1219200"/>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5</xdr:col>
      <xdr:colOff>161925</xdr:colOff>
      <xdr:row>6</xdr:row>
      <xdr:rowOff>133350</xdr:rowOff>
    </xdr:from>
    <xdr:to>
      <xdr:col>8</xdr:col>
      <xdr:colOff>552450</xdr:colOff>
      <xdr:row>10</xdr:row>
      <xdr:rowOff>123825</xdr:rowOff>
    </xdr:to>
    <xdr:sp macro="" textlink="">
      <xdr:nvSpPr>
        <xdr:cNvPr id="7" name="Corners Rounded 7">
          <a:extLst>
            <a:ext uri="{FF2B5EF4-FFF2-40B4-BE49-F238E27FC236}">
              <a16:creationId xmlns:a16="http://schemas.microsoft.com/office/drawing/2014/main" id="{00000000-0008-0000-0700-000007000000}"/>
            </a:ext>
          </a:extLst>
        </xdr:cNvPr>
        <xdr:cNvSpPr/>
      </xdr:nvSpPr>
      <xdr:spPr>
        <a:xfrm>
          <a:off x="5314950" y="2476500"/>
          <a:ext cx="2447925" cy="1866900"/>
        </a:xfrm>
        <a:prstGeom prst="wedgeRoundRectCallout">
          <a:avLst>
            <a:gd name="adj1" fmla="val -102291"/>
            <a:gd name="adj2" fmla="val -31758"/>
            <a:gd name="adj3" fmla="val 16667"/>
          </a:avLst>
        </a:prstGeom>
        <a:solidFill>
          <a:srgbClr val="000000">
            <a:alpha val="25098"/>
          </a:srgb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To enable this capability, add an image in the cell, then add a formula to the image, like =SelectImage. The </a:t>
          </a:r>
          <a:r>
            <a:rPr lang="en-US" sz="1100" baseline="0">
              <a:solidFill>
                <a:schemeClr val="dk1"/>
              </a:solidFill>
              <a:effectLst/>
              <a:latin typeface="+mn-lt"/>
              <a:ea typeface="+mn-ea"/>
              <a:cs typeface="+mn-cs"/>
            </a:rPr>
            <a:t>SelectImage must contain a dynamic range formula, like =INDEX(Images,ImageIndex). See the Name Manager for how formulas/ranges were created for this example.</a:t>
          </a:r>
          <a:endParaRPr lang="en-US" sz="1100" baseline="0"/>
        </a:p>
      </xdr:txBody>
    </xdr:sp>
    <xdr:clientData/>
  </xdr:twoCellAnchor>
  <xdr:twoCellAnchor>
    <xdr:from>
      <xdr:col>9</xdr:col>
      <xdr:colOff>328612</xdr:colOff>
      <xdr:row>7</xdr:row>
      <xdr:rowOff>133350</xdr:rowOff>
    </xdr:from>
    <xdr:to>
      <xdr:col>12</xdr:col>
      <xdr:colOff>438150</xdr:colOff>
      <xdr:row>9</xdr:row>
      <xdr:rowOff>9525</xdr:rowOff>
    </xdr:to>
    <xdr:graphicFrame macro="">
      <xdr:nvGraphicFramePr>
        <xdr:cNvPr id="8" name="r_ImageOnChart">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352425</xdr:colOff>
          <xdr:row>7</xdr:row>
          <xdr:rowOff>161925</xdr:rowOff>
        </xdr:from>
        <xdr:to>
          <xdr:col>12</xdr:col>
          <xdr:colOff>390525</xdr:colOff>
          <xdr:row>8</xdr:row>
          <xdr:rowOff>180975</xdr:rowOff>
        </xdr:to>
        <xdr:pic>
          <xdr:nvPicPr>
            <xdr:cNvPr id="44161" name="Picture 1">
              <a:extLst>
                <a:ext uri="{FF2B5EF4-FFF2-40B4-BE49-F238E27FC236}">
                  <a16:creationId xmlns:a16="http://schemas.microsoft.com/office/drawing/2014/main" id="{00000000-0008-0000-0700-000081AC0000}"/>
                </a:ext>
              </a:extLst>
            </xdr:cNvPr>
            <xdr:cNvPicPr>
              <a:picLocks noChangeAspect="1" noChangeArrowheads="1"/>
              <a:extLst>
                <a:ext uri="{84589F7E-364E-4C9E-8A38-B11213B215E9}">
                  <a14:cameraTool cellRange="SelectedImage" spid="_x0000_s82018"/>
                </a:ext>
              </a:extLst>
            </xdr:cNvPicPr>
          </xdr:nvPicPr>
          <xdr:blipFill>
            <a:blip xmlns:r="http://schemas.openxmlformats.org/officeDocument/2006/relationships" r:embed="rId5"/>
            <a:srcRect/>
            <a:stretch>
              <a:fillRect/>
            </a:stretch>
          </xdr:blipFill>
          <xdr:spPr bwMode="auto">
            <a:xfrm>
              <a:off x="8248650" y="2867025"/>
              <a:ext cx="209550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c:userShapes xmlns:c="http://schemas.openxmlformats.org/drawingml/2006/chart">
  <cdr:relSizeAnchor xmlns:cdr="http://schemas.openxmlformats.org/drawingml/2006/chartDrawing">
    <cdr:from>
      <cdr:x>0.01111</cdr:x>
      <cdr:y>0.01852</cdr:y>
    </cdr:from>
    <cdr:to>
      <cdr:x>0.97802</cdr:x>
      <cdr:y>0.98071</cdr:y>
    </cdr:to>
    <cdr:pic>
      <cdr:nvPicPr>
        <cdr:cNvPr id="2" name="Picture 1">
          <a:extLst xmlns:a="http://schemas.openxmlformats.org/drawingml/2006/main">
            <a:ext uri="{FF2B5EF4-FFF2-40B4-BE49-F238E27FC236}">
              <a16:creationId xmlns:a16="http://schemas.microsoft.com/office/drawing/2014/main" id="{3AC7F674-BE10-291D-EF2B-20AE9DA23F4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4077" y="24342"/>
          <a:ext cx="2095236" cy="1264752"/>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6.xml><?xml version="1.0" encoding="utf-8"?>
<xdr:wsDr xmlns:xdr="http://schemas.openxmlformats.org/drawingml/2006/spreadsheetDrawing" xmlns:a="http://schemas.openxmlformats.org/drawingml/2006/main">
  <xdr:oneCellAnchor>
    <xdr:from>
      <xdr:col>4</xdr:col>
      <xdr:colOff>609600</xdr:colOff>
      <xdr:row>51</xdr:row>
      <xdr:rowOff>257175</xdr:rowOff>
    </xdr:from>
    <xdr:ext cx="2962688" cy="21624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048000" y="5143500"/>
          <a:ext cx="2962688" cy="2162477"/>
        </a:xfrm>
        <a:prstGeom prst="rect">
          <a:avLst/>
        </a:prstGeom>
        <a:ln>
          <a:noFill/>
        </a:ln>
        <a:effectLst>
          <a:outerShdw blurRad="190500" algn="tl" rotWithShape="0">
            <a:srgbClr val="000000">
              <a:alpha val="70000"/>
            </a:srgbClr>
          </a:outerShdw>
        </a:effec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152400</xdr:colOff>
      <xdr:row>42</xdr:row>
      <xdr:rowOff>47625</xdr:rowOff>
    </xdr:from>
    <xdr:to>
      <xdr:col>13</xdr:col>
      <xdr:colOff>114300</xdr:colOff>
      <xdr:row>44</xdr:row>
      <xdr:rowOff>171450</xdr:rowOff>
    </xdr:to>
    <xdr:sp macro="" textlink="">
      <xdr:nvSpPr>
        <xdr:cNvPr id="2" name="Speech Bubble: Rectangle with Corners Rounded 1">
          <a:extLst>
            <a:ext uri="{FF2B5EF4-FFF2-40B4-BE49-F238E27FC236}">
              <a16:creationId xmlns:a16="http://schemas.microsoft.com/office/drawing/2014/main" id="{B802B3B0-340C-4C36-ACCE-4A196196B059}"/>
            </a:ext>
          </a:extLst>
        </xdr:cNvPr>
        <xdr:cNvSpPr/>
      </xdr:nvSpPr>
      <xdr:spPr>
        <a:xfrm>
          <a:off x="6829425" y="8277225"/>
          <a:ext cx="1752600" cy="523875"/>
        </a:xfrm>
        <a:prstGeom prst="wedgeRoundRectCallout">
          <a:avLst>
            <a:gd name="adj1" fmla="val -39150"/>
            <a:gd name="adj2" fmla="val -23423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Range name is 'HideRow_SheetA'</a:t>
          </a:r>
        </a:p>
      </xdr:txBody>
    </xdr:sp>
    <xdr:clientData/>
  </xdr:twoCellAnchor>
  <xdr:twoCellAnchor>
    <xdr:from>
      <xdr:col>8</xdr:col>
      <xdr:colOff>200025</xdr:colOff>
      <xdr:row>46</xdr:row>
      <xdr:rowOff>57150</xdr:rowOff>
    </xdr:from>
    <xdr:to>
      <xdr:col>11</xdr:col>
      <xdr:colOff>438150</xdr:colOff>
      <xdr:row>48</xdr:row>
      <xdr:rowOff>171450</xdr:rowOff>
    </xdr:to>
    <xdr:sp macro="" textlink="">
      <xdr:nvSpPr>
        <xdr:cNvPr id="3" name="Speech Bubble: Rectangle with Corners Rounded 2">
          <a:extLst>
            <a:ext uri="{FF2B5EF4-FFF2-40B4-BE49-F238E27FC236}">
              <a16:creationId xmlns:a16="http://schemas.microsoft.com/office/drawing/2014/main" id="{9708E56F-2328-49B9-B4A9-8B7EA45D1C66}"/>
            </a:ext>
          </a:extLst>
        </xdr:cNvPr>
        <xdr:cNvSpPr/>
      </xdr:nvSpPr>
      <xdr:spPr>
        <a:xfrm>
          <a:off x="5505450" y="7143750"/>
          <a:ext cx="2028825" cy="514350"/>
        </a:xfrm>
        <a:prstGeom prst="wedgeRoundRectCallout">
          <a:avLst>
            <a:gd name="adj1" fmla="val -80283"/>
            <a:gd name="adj2" fmla="val -27461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Range name is 'HideCol_SheetA'</a:t>
          </a:r>
        </a:p>
      </xdr:txBody>
    </xdr:sp>
    <xdr:clientData/>
  </xdr:twoCellAnchor>
  <xdr:twoCellAnchor editAs="oneCell">
    <xdr:from>
      <xdr:col>15</xdr:col>
      <xdr:colOff>457200</xdr:colOff>
      <xdr:row>2</xdr:row>
      <xdr:rowOff>95250</xdr:rowOff>
    </xdr:from>
    <xdr:to>
      <xdr:col>19</xdr:col>
      <xdr:colOff>648109</xdr:colOff>
      <xdr:row>20</xdr:row>
      <xdr:rowOff>57704</xdr:rowOff>
    </xdr:to>
    <xdr:pic>
      <xdr:nvPicPr>
        <xdr:cNvPr id="5" name="Picture 4">
          <a:extLst>
            <a:ext uri="{FF2B5EF4-FFF2-40B4-BE49-F238E27FC236}">
              <a16:creationId xmlns:a16="http://schemas.microsoft.com/office/drawing/2014/main" id="{EBBA63EA-99B8-5598-9A53-1B073D31CDB0}"/>
            </a:ext>
          </a:extLst>
        </xdr:cNvPr>
        <xdr:cNvPicPr>
          <a:picLocks noChangeAspect="1"/>
        </xdr:cNvPicPr>
      </xdr:nvPicPr>
      <xdr:blipFill>
        <a:blip xmlns:r="http://schemas.openxmlformats.org/officeDocument/2006/relationships" r:embed="rId1"/>
        <a:stretch>
          <a:fillRect/>
        </a:stretch>
      </xdr:blipFill>
      <xdr:spPr>
        <a:xfrm>
          <a:off x="10477500" y="733425"/>
          <a:ext cx="2934109" cy="3972479"/>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19</xdr:row>
      <xdr:rowOff>38101</xdr:rowOff>
    </xdr:from>
    <xdr:to>
      <xdr:col>13</xdr:col>
      <xdr:colOff>552450</xdr:colOff>
      <xdr:row>26</xdr:row>
      <xdr:rowOff>171450</xdr:rowOff>
    </xdr:to>
    <xdr:sp macro="" textlink="">
      <xdr:nvSpPr>
        <xdr:cNvPr id="3" name="Speech Bubble: Rectangle with Corners Rounded 4">
          <a:extLst>
            <a:ext uri="{FF2B5EF4-FFF2-40B4-BE49-F238E27FC236}">
              <a16:creationId xmlns:a16="http://schemas.microsoft.com/office/drawing/2014/main" id="{7ECF6FCB-08E6-405B-A5CB-11F6132CC3CC}"/>
            </a:ext>
          </a:extLst>
        </xdr:cNvPr>
        <xdr:cNvSpPr/>
      </xdr:nvSpPr>
      <xdr:spPr>
        <a:xfrm>
          <a:off x="10067925" y="7381876"/>
          <a:ext cx="1333500" cy="1533524"/>
        </a:xfrm>
        <a:prstGeom prst="wedgeRoundRectCallout">
          <a:avLst>
            <a:gd name="adj1" fmla="val -81055"/>
            <a:gd name="adj2" fmla="val 1329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You can optionally re-size the source table:  the</a:t>
          </a:r>
          <a:r>
            <a:rPr lang="en-US" sz="1100" baseline="0"/>
            <a:t> add-in will re-size the destination table to match</a:t>
          </a:r>
          <a:endParaRPr lang="en-US" sz="1100"/>
        </a:p>
      </xdr:txBody>
    </xdr:sp>
    <xdr:clientData/>
  </xdr:twoCellAnchor>
  <xdr:twoCellAnchor editAs="oneCell">
    <xdr:from>
      <xdr:col>2</xdr:col>
      <xdr:colOff>1028700</xdr:colOff>
      <xdr:row>10</xdr:row>
      <xdr:rowOff>161925</xdr:rowOff>
    </xdr:from>
    <xdr:to>
      <xdr:col>4</xdr:col>
      <xdr:colOff>725148</xdr:colOff>
      <xdr:row>10</xdr:row>
      <xdr:rowOff>2190750</xdr:rowOff>
    </xdr:to>
    <xdr:pic>
      <xdr:nvPicPr>
        <xdr:cNvPr id="6" name="Picture 5">
          <a:extLst>
            <a:ext uri="{FF2B5EF4-FFF2-40B4-BE49-F238E27FC236}">
              <a16:creationId xmlns:a16="http://schemas.microsoft.com/office/drawing/2014/main" id="{A54937C7-C036-7852-B25B-858E9A7C43A2}"/>
            </a:ext>
          </a:extLst>
        </xdr:cNvPr>
        <xdr:cNvPicPr>
          <a:picLocks noChangeAspect="1"/>
        </xdr:cNvPicPr>
      </xdr:nvPicPr>
      <xdr:blipFill>
        <a:blip xmlns:r="http://schemas.openxmlformats.org/officeDocument/2006/relationships" r:embed="rId1"/>
        <a:stretch>
          <a:fillRect/>
        </a:stretch>
      </xdr:blipFill>
      <xdr:spPr>
        <a:xfrm>
          <a:off x="1600200" y="2171700"/>
          <a:ext cx="2420598" cy="202882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12</xdr:col>
      <xdr:colOff>0</xdr:colOff>
      <xdr:row>36</xdr:row>
      <xdr:rowOff>38098</xdr:rowOff>
    </xdr:from>
    <xdr:to>
      <xdr:col>14</xdr:col>
      <xdr:colOff>304800</xdr:colOff>
      <xdr:row>43</xdr:row>
      <xdr:rowOff>123824</xdr:rowOff>
    </xdr:to>
    <xdr:sp macro="" textlink="">
      <xdr:nvSpPr>
        <xdr:cNvPr id="7" name="Speech Bubble: Rectangle with Corners Rounded 10">
          <a:extLst>
            <a:ext uri="{FF2B5EF4-FFF2-40B4-BE49-F238E27FC236}">
              <a16:creationId xmlns:a16="http://schemas.microsoft.com/office/drawing/2014/main" id="{0EFF707A-A240-9D15-EA42-8835C746872D}"/>
            </a:ext>
          </a:extLst>
        </xdr:cNvPr>
        <xdr:cNvSpPr/>
      </xdr:nvSpPr>
      <xdr:spPr>
        <a:xfrm>
          <a:off x="10067925" y="10820398"/>
          <a:ext cx="1771650" cy="1504951"/>
        </a:xfrm>
        <a:prstGeom prst="wedgeRoundRectCallout">
          <a:avLst>
            <a:gd name="adj1" fmla="val -90117"/>
            <a:gd name="adj2" fmla="val 897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With "Skip cells</a:t>
          </a:r>
          <a:r>
            <a:rPr lang="en-US" sz="1100" baseline="0"/>
            <a:t> with formulas</a:t>
          </a:r>
          <a:r>
            <a:rPr lang="en-US" sz="1100"/>
            <a:t>" checked, the totals and</a:t>
          </a:r>
          <a:r>
            <a:rPr lang="en-US" sz="1100" baseline="0"/>
            <a:t> Tax Expense (any cell starting with "=") will not be overwritten by values from the source.</a:t>
          </a:r>
          <a:endParaRPr lang="en-US" sz="1100"/>
        </a:p>
      </xdr:txBody>
    </xdr:sp>
    <xdr:clientData/>
  </xdr:twoCellAnchor>
  <xdr:twoCellAnchor>
    <xdr:from>
      <xdr:col>6</xdr:col>
      <xdr:colOff>109539</xdr:colOff>
      <xdr:row>39</xdr:row>
      <xdr:rowOff>190502</xdr:rowOff>
    </xdr:from>
    <xdr:to>
      <xdr:col>6</xdr:col>
      <xdr:colOff>509589</xdr:colOff>
      <xdr:row>45</xdr:row>
      <xdr:rowOff>61914</xdr:rowOff>
    </xdr:to>
    <xdr:sp macro="" textlink="">
      <xdr:nvSpPr>
        <xdr:cNvPr id="13" name="Arrow: Down 12">
          <a:extLst>
            <a:ext uri="{FF2B5EF4-FFF2-40B4-BE49-F238E27FC236}">
              <a16:creationId xmlns:a16="http://schemas.microsoft.com/office/drawing/2014/main" id="{99F33861-174C-E969-261F-1D1329876990}"/>
            </a:ext>
          </a:extLst>
        </xdr:cNvPr>
        <xdr:cNvSpPr/>
      </xdr:nvSpPr>
      <xdr:spPr>
        <a:xfrm rot="16200000">
          <a:off x="4612483" y="11861008"/>
          <a:ext cx="1109662" cy="400050"/>
        </a:xfrm>
        <a:prstGeom prst="down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109539</xdr:colOff>
      <xdr:row>21</xdr:row>
      <xdr:rowOff>19049</xdr:rowOff>
    </xdr:from>
    <xdr:to>
      <xdr:col>6</xdr:col>
      <xdr:colOff>500064</xdr:colOff>
      <xdr:row>25</xdr:row>
      <xdr:rowOff>166688</xdr:rowOff>
    </xdr:to>
    <xdr:sp macro="" textlink="">
      <xdr:nvSpPr>
        <xdr:cNvPr id="8" name="Arrow: Down 7">
          <a:extLst>
            <a:ext uri="{FF2B5EF4-FFF2-40B4-BE49-F238E27FC236}">
              <a16:creationId xmlns:a16="http://schemas.microsoft.com/office/drawing/2014/main" id="{6EDCA80A-9655-7E2E-3394-C937B1228B23}"/>
            </a:ext>
          </a:extLst>
        </xdr:cNvPr>
        <xdr:cNvSpPr/>
      </xdr:nvSpPr>
      <xdr:spPr>
        <a:xfrm rot="16200000">
          <a:off x="4688682" y="7603331"/>
          <a:ext cx="947739" cy="390525"/>
        </a:xfrm>
        <a:prstGeom prst="down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109540</xdr:colOff>
      <xdr:row>31</xdr:row>
      <xdr:rowOff>38102</xdr:rowOff>
    </xdr:from>
    <xdr:to>
      <xdr:col>6</xdr:col>
      <xdr:colOff>509590</xdr:colOff>
      <xdr:row>33</xdr:row>
      <xdr:rowOff>171452</xdr:rowOff>
    </xdr:to>
    <xdr:sp macro="" textlink="">
      <xdr:nvSpPr>
        <xdr:cNvPr id="10" name="Arrow: Down 9">
          <a:extLst>
            <a:ext uri="{FF2B5EF4-FFF2-40B4-BE49-F238E27FC236}">
              <a16:creationId xmlns:a16="http://schemas.microsoft.com/office/drawing/2014/main" id="{2F1EFE65-A941-46CA-515B-BBC2DB896FAF}"/>
            </a:ext>
          </a:extLst>
        </xdr:cNvPr>
        <xdr:cNvSpPr/>
      </xdr:nvSpPr>
      <xdr:spPr>
        <a:xfrm rot="16200000">
          <a:off x="4900615" y="9772652"/>
          <a:ext cx="533400" cy="400050"/>
        </a:xfrm>
        <a:prstGeom prst="down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990600</xdr:colOff>
      <xdr:row>10</xdr:row>
      <xdr:rowOff>200025</xdr:rowOff>
    </xdr:from>
    <xdr:to>
      <xdr:col>9</xdr:col>
      <xdr:colOff>799461</xdr:colOff>
      <xdr:row>10</xdr:row>
      <xdr:rowOff>2190750</xdr:rowOff>
    </xdr:to>
    <xdr:pic>
      <xdr:nvPicPr>
        <xdr:cNvPr id="12" name="Picture 11">
          <a:extLst>
            <a:ext uri="{FF2B5EF4-FFF2-40B4-BE49-F238E27FC236}">
              <a16:creationId xmlns:a16="http://schemas.microsoft.com/office/drawing/2014/main" id="{E279505A-8DD6-7137-9ECA-4164F7189A55}"/>
            </a:ext>
          </a:extLst>
        </xdr:cNvPr>
        <xdr:cNvPicPr>
          <a:picLocks noChangeAspect="1"/>
        </xdr:cNvPicPr>
      </xdr:nvPicPr>
      <xdr:blipFill>
        <a:blip xmlns:r="http://schemas.openxmlformats.org/officeDocument/2006/relationships" r:embed="rId2"/>
        <a:stretch>
          <a:fillRect/>
        </a:stretch>
      </xdr:blipFill>
      <xdr:spPr>
        <a:xfrm>
          <a:off x="6543675" y="2276475"/>
          <a:ext cx="2475861" cy="19907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590550</xdr:colOff>
      <xdr:row>0</xdr:row>
      <xdr:rowOff>157840</xdr:rowOff>
    </xdr:from>
    <xdr:to>
      <xdr:col>9</xdr:col>
      <xdr:colOff>847726</xdr:colOff>
      <xdr:row>3</xdr:row>
      <xdr:rowOff>174729</xdr:rowOff>
    </xdr:to>
    <xdr:grpSp>
      <xdr:nvGrpSpPr>
        <xdr:cNvPr id="21" name="Group 20">
          <a:extLst>
            <a:ext uri="{FF2B5EF4-FFF2-40B4-BE49-F238E27FC236}">
              <a16:creationId xmlns:a16="http://schemas.microsoft.com/office/drawing/2014/main" id="{99A4B129-446D-B761-B238-A79F2964BC93}"/>
            </a:ext>
          </a:extLst>
        </xdr:cNvPr>
        <xdr:cNvGrpSpPr>
          <a:grpSpLocks noChangeAspect="1"/>
        </xdr:cNvGrpSpPr>
      </xdr:nvGrpSpPr>
      <xdr:grpSpPr>
        <a:xfrm>
          <a:off x="6143625" y="157840"/>
          <a:ext cx="2924176" cy="1398014"/>
          <a:chOff x="9458325" y="557890"/>
          <a:chExt cx="2924176" cy="1436114"/>
        </a:xfrm>
      </xdr:grpSpPr>
      <xdr:pic>
        <xdr:nvPicPr>
          <xdr:cNvPr id="15" name="Picture 14" descr="A close up of a sign&#10;&#10;Description automatically generated">
            <a:extLst>
              <a:ext uri="{FF2B5EF4-FFF2-40B4-BE49-F238E27FC236}">
                <a16:creationId xmlns:a16="http://schemas.microsoft.com/office/drawing/2014/main" id="{B57B3E5F-2E31-FF7E-AE9C-F6AE689201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11003617" y="561975"/>
            <a:ext cx="743363" cy="743363"/>
          </a:xfrm>
          <a:prstGeom prst="rect">
            <a:avLst/>
          </a:prstGeom>
        </xdr:spPr>
      </xdr:pic>
      <xdr:cxnSp macro="">
        <xdr:nvCxnSpPr>
          <xdr:cNvPr id="16" name="Straight Arrow Connector 15">
            <a:extLst>
              <a:ext uri="{FF2B5EF4-FFF2-40B4-BE49-F238E27FC236}">
                <a16:creationId xmlns:a16="http://schemas.microsoft.com/office/drawing/2014/main" id="{7FD68025-8AB7-933A-A5C3-B932B615A26D}"/>
              </a:ext>
            </a:extLst>
          </xdr:cNvPr>
          <xdr:cNvCxnSpPr>
            <a:cxnSpLocks/>
            <a:endCxn id="15" idx="1"/>
          </xdr:cNvCxnSpPr>
        </xdr:nvCxnSpPr>
        <xdr:spPr>
          <a:xfrm flipV="1">
            <a:off x="10442788" y="933657"/>
            <a:ext cx="560829" cy="13317"/>
          </a:xfrm>
          <a:prstGeom prst="straightConnector1">
            <a:avLst/>
          </a:prstGeom>
          <a:ln w="57150">
            <a:solidFill>
              <a:schemeClr val="accent4">
                <a:lumMod val="75000"/>
              </a:schemeClr>
            </a:solidFill>
            <a:headEnd type="none"/>
            <a:tailEnd type="stealth" w="lg" len="lg"/>
          </a:ln>
        </xdr:spPr>
        <xdr:style>
          <a:lnRef idx="3">
            <a:schemeClr val="accent1"/>
          </a:lnRef>
          <a:fillRef idx="0">
            <a:schemeClr val="accent1"/>
          </a:fillRef>
          <a:effectRef idx="2">
            <a:schemeClr val="accent1"/>
          </a:effectRef>
          <a:fontRef idx="minor">
            <a:schemeClr val="tx1"/>
          </a:fontRef>
        </xdr:style>
      </xdr:cxnSp>
      <xdr:pic>
        <xdr:nvPicPr>
          <xdr:cNvPr id="17" name="Picture 16" descr="A close up of a sign&#10;&#10;Description automatically generated">
            <a:extLst>
              <a:ext uri="{FF2B5EF4-FFF2-40B4-BE49-F238E27FC236}">
                <a16:creationId xmlns:a16="http://schemas.microsoft.com/office/drawing/2014/main" id="{31B42209-A78B-32F7-082B-200A83EF94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9848437" y="557890"/>
            <a:ext cx="743363" cy="743363"/>
          </a:xfrm>
          <a:prstGeom prst="rect">
            <a:avLst/>
          </a:prstGeom>
        </xdr:spPr>
      </xdr:pic>
      <xdr:sp macro="" textlink="">
        <xdr:nvSpPr>
          <xdr:cNvPr id="18" name="TextBox 10">
            <a:extLst>
              <a:ext uri="{FF2B5EF4-FFF2-40B4-BE49-F238E27FC236}">
                <a16:creationId xmlns:a16="http://schemas.microsoft.com/office/drawing/2014/main" id="{F5C2623B-B071-6451-9E03-A31CCB412539}"/>
              </a:ext>
            </a:extLst>
          </xdr:cNvPr>
          <xdr:cNvSpPr txBox="1"/>
        </xdr:nvSpPr>
        <xdr:spPr>
          <a:xfrm>
            <a:off x="9458325" y="1338055"/>
            <a:ext cx="1724025"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800">
                <a:solidFill>
                  <a:schemeClr val="accent1"/>
                </a:solidFill>
              </a:rPr>
              <a:t>Source </a:t>
            </a:r>
          </a:p>
          <a:p>
            <a:pPr algn="ctr"/>
            <a:r>
              <a:rPr lang="en-US" sz="1800">
                <a:solidFill>
                  <a:schemeClr val="accent1"/>
                </a:solidFill>
              </a:rPr>
              <a:t>Workbook</a:t>
            </a:r>
          </a:p>
        </xdr:txBody>
      </xdr:sp>
      <xdr:sp macro="" textlink="">
        <xdr:nvSpPr>
          <xdr:cNvPr id="19" name="TextBox 11">
            <a:extLst>
              <a:ext uri="{FF2B5EF4-FFF2-40B4-BE49-F238E27FC236}">
                <a16:creationId xmlns:a16="http://schemas.microsoft.com/office/drawing/2014/main" id="{45C1ABA0-370B-6614-DB39-0929E625BDA7}"/>
              </a:ext>
            </a:extLst>
          </xdr:cNvPr>
          <xdr:cNvSpPr txBox="1"/>
        </xdr:nvSpPr>
        <xdr:spPr>
          <a:xfrm>
            <a:off x="10604223" y="1333964"/>
            <a:ext cx="1778278"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800">
                <a:solidFill>
                  <a:schemeClr val="accent6">
                    <a:lumMod val="50000"/>
                  </a:schemeClr>
                </a:solidFill>
              </a:rPr>
              <a:t>Destination </a:t>
            </a:r>
          </a:p>
          <a:p>
            <a:pPr algn="ctr"/>
            <a:r>
              <a:rPr lang="en-US" sz="1800">
                <a:solidFill>
                  <a:schemeClr val="accent6">
                    <a:lumMod val="50000"/>
                  </a:schemeClr>
                </a:solidFill>
              </a:rPr>
              <a:t>Workbook</a:t>
            </a:r>
          </a:p>
        </xdr:txBody>
      </xdr:sp>
    </xdr:grpSp>
    <xdr:clientData/>
  </xdr:twoCellAnchor>
  <xdr:twoCellAnchor>
    <xdr:from>
      <xdr:col>2</xdr:col>
      <xdr:colOff>666750</xdr:colOff>
      <xdr:row>10</xdr:row>
      <xdr:rowOff>876300</xdr:rowOff>
    </xdr:from>
    <xdr:to>
      <xdr:col>2</xdr:col>
      <xdr:colOff>1304925</xdr:colOff>
      <xdr:row>10</xdr:row>
      <xdr:rowOff>1247775</xdr:rowOff>
    </xdr:to>
    <xdr:sp macro="" textlink="">
      <xdr:nvSpPr>
        <xdr:cNvPr id="24" name="Arrow: Right 23">
          <a:extLst>
            <a:ext uri="{FF2B5EF4-FFF2-40B4-BE49-F238E27FC236}">
              <a16:creationId xmlns:a16="http://schemas.microsoft.com/office/drawing/2014/main" id="{BE3E7616-5EBC-E753-5F7A-BB93D2573CEE}"/>
            </a:ext>
          </a:extLst>
        </xdr:cNvPr>
        <xdr:cNvSpPr/>
      </xdr:nvSpPr>
      <xdr:spPr>
        <a:xfrm>
          <a:off x="1238250" y="4467225"/>
          <a:ext cx="638175" cy="371475"/>
        </a:xfrm>
        <a:prstGeom prst="rightArrow">
          <a:avLst>
            <a:gd name="adj1" fmla="val 39743"/>
            <a:gd name="adj2" fmla="val 44872"/>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200025</xdr:colOff>
      <xdr:row>10</xdr:row>
      <xdr:rowOff>1095375</xdr:rowOff>
    </xdr:from>
    <xdr:to>
      <xdr:col>9</xdr:col>
      <xdr:colOff>838200</xdr:colOff>
      <xdr:row>10</xdr:row>
      <xdr:rowOff>1466850</xdr:rowOff>
    </xdr:to>
    <xdr:sp macro="" textlink="">
      <xdr:nvSpPr>
        <xdr:cNvPr id="25" name="Arrow: Right 24">
          <a:extLst>
            <a:ext uri="{FF2B5EF4-FFF2-40B4-BE49-F238E27FC236}">
              <a16:creationId xmlns:a16="http://schemas.microsoft.com/office/drawing/2014/main" id="{FF269A4B-2D1C-F45F-F8D0-BE70BFC6A098}"/>
            </a:ext>
          </a:extLst>
        </xdr:cNvPr>
        <xdr:cNvSpPr/>
      </xdr:nvSpPr>
      <xdr:spPr>
        <a:xfrm rot="10800000">
          <a:off x="8420100" y="4686300"/>
          <a:ext cx="638175" cy="371475"/>
        </a:xfrm>
        <a:prstGeom prst="rightArrow">
          <a:avLst>
            <a:gd name="adj1" fmla="val 39743"/>
            <a:gd name="adj2" fmla="val 44872"/>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590549</xdr:colOff>
      <xdr:row>5</xdr:row>
      <xdr:rowOff>33337</xdr:rowOff>
    </xdr:from>
    <xdr:to>
      <xdr:col>8</xdr:col>
      <xdr:colOff>156213</xdr:colOff>
      <xdr:row>14</xdr:row>
      <xdr:rowOff>142875</xdr:rowOff>
    </xdr:to>
    <xdr:graphicFrame macro="">
      <xdr:nvGraphicFramePr>
        <xdr:cNvPr id="104" name="r_MergeChart">
          <a:extLst>
            <a:ext uri="{FF2B5EF4-FFF2-40B4-BE49-F238E27FC236}">
              <a16:creationId xmlns:a16="http://schemas.microsoft.com/office/drawing/2014/main" id="{00000000-0008-0000-0E00-00006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0.43675</cdr:x>
      <cdr:y>0.35148</cdr:y>
    </cdr:from>
    <cdr:to>
      <cdr:x>0.63956</cdr:x>
      <cdr:y>0.68482</cdr:y>
    </cdr:to>
    <cdr:pic>
      <cdr:nvPicPr>
        <cdr:cNvPr id="3" name="Graphic 22" descr="Scales of justice with solid fill">
          <a:extLst xmlns:a="http://schemas.openxmlformats.org/drawingml/2006/main">
            <a:ext uri="{FF2B5EF4-FFF2-40B4-BE49-F238E27FC236}">
              <a16:creationId xmlns:a16="http://schemas.microsoft.com/office/drawing/2014/main" id="{AAB97743-F2D0-B822-BB80-C7F4DD86CE2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381123" y="676273"/>
          <a:ext cx="641351" cy="641351"/>
        </a:xfrm>
        <a:prstGeom xmlns:a="http://schemas.openxmlformats.org/drawingml/2006/main" prst="rect">
          <a:avLst/>
        </a:prstGeom>
      </cdr:spPr>
    </cdr:pic>
  </cdr:relSizeAnchor>
  <cdr:relSizeAnchor xmlns:cdr="http://schemas.openxmlformats.org/drawingml/2006/chartDrawing">
    <cdr:from>
      <cdr:x>0.28414</cdr:x>
      <cdr:y>0.17987</cdr:y>
    </cdr:from>
    <cdr:to>
      <cdr:x>0.73193</cdr:x>
      <cdr:y>0.40099</cdr:y>
    </cdr:to>
    <cdr:sp macro="" textlink="QuickStart!$E$85">
      <cdr:nvSpPr>
        <cdr:cNvPr id="4" name="TextBox 23">
          <a:extLst xmlns:a="http://schemas.openxmlformats.org/drawingml/2006/main">
            <a:ext uri="{FF2B5EF4-FFF2-40B4-BE49-F238E27FC236}">
              <a16:creationId xmlns:a16="http://schemas.microsoft.com/office/drawing/2014/main" id="{D4E34F27-0B02-893F-4B3A-0AEC463F5E48}"/>
            </a:ext>
          </a:extLst>
        </cdr:cNvPr>
        <cdr:cNvSpPr txBox="1"/>
      </cdr:nvSpPr>
      <cdr:spPr>
        <a:xfrm xmlns:a="http://schemas.openxmlformats.org/drawingml/2006/main">
          <a:off x="898536" y="346079"/>
          <a:ext cx="1416038" cy="4254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97BFEC7-5250-4973-A177-59F2EDF77CF6}" type="TxLink">
            <a:rPr lang="en-US" sz="1600" b="1" i="0" u="none" strike="noStrike" cap="none" spc="0">
              <a:ln w="6600">
                <a:solidFill>
                  <a:schemeClr val="accent6">
                    <a:lumMod val="50000"/>
                  </a:schemeClr>
                </a:solidFill>
                <a:prstDash val="solid"/>
              </a:ln>
              <a:solidFill>
                <a:srgbClr val="FFFFFF"/>
              </a:solidFill>
              <a:effectLst>
                <a:outerShdw dist="38100" dir="2700000" algn="tl" rotWithShape="0">
                  <a:schemeClr val="accent2"/>
                </a:outerShdw>
              </a:effectLst>
              <a:latin typeface="Arial"/>
              <a:cs typeface="Arial"/>
            </a:rPr>
            <a:pPr algn="ctr"/>
            <a:t>ROI = 396%</a:t>
          </a:fld>
          <a:endParaRPr lang="en-US" sz="2400" b="1" cap="none" spc="0">
            <a:ln w="6600">
              <a:solidFill>
                <a:schemeClr val="accent6">
                  <a:lumMod val="50000"/>
                </a:schemeClr>
              </a:solidFill>
              <a:prstDash val="solid"/>
            </a:ln>
            <a:solidFill>
              <a:srgbClr val="FFFFFF"/>
            </a:solidFill>
            <a:effectLst>
              <a:outerShdw dist="38100" dir="2700000" algn="tl" rotWithShape="0">
                <a:schemeClr val="accent2"/>
              </a:outerShdw>
            </a:effectLst>
          </a:endParaRPr>
        </a:p>
      </cdr:txBody>
    </cdr:sp>
  </cdr:relSizeAnchor>
</c:userShapes>
</file>

<file path=xl/drawings/drawing20.xml><?xml version="1.0" encoding="utf-8"?>
<xdr:wsDr xmlns:xdr="http://schemas.openxmlformats.org/drawingml/2006/spreadsheetDrawing" xmlns:a="http://schemas.openxmlformats.org/drawingml/2006/main">
  <xdr:oneCellAnchor>
    <xdr:from>
      <xdr:col>5</xdr:col>
      <xdr:colOff>258610</xdr:colOff>
      <xdr:row>1</xdr:row>
      <xdr:rowOff>95762</xdr:rowOff>
    </xdr:from>
    <xdr:ext cx="2693150" cy="3095114"/>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306610" y="286262"/>
          <a:ext cx="2693150" cy="3095114"/>
        </a:xfrm>
        <a:prstGeom prst="rect">
          <a:avLst/>
        </a:prstGeom>
        <a:ln>
          <a:noFill/>
        </a:ln>
        <a:effectLst>
          <a:outerShdw blurRad="190500" algn="tl" rotWithShape="0">
            <a:srgbClr val="000000">
              <a:alpha val="70000"/>
            </a:srgbClr>
          </a:outerShdw>
        </a:effec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5</xdr:col>
      <xdr:colOff>123824</xdr:colOff>
      <xdr:row>10</xdr:row>
      <xdr:rowOff>38100</xdr:rowOff>
    </xdr:from>
    <xdr:to>
      <xdr:col>7</xdr:col>
      <xdr:colOff>1390650</xdr:colOff>
      <xdr:row>20</xdr:row>
      <xdr:rowOff>152400</xdr:rowOff>
    </xdr:to>
    <xdr:graphicFrame macro="">
      <xdr:nvGraphicFramePr>
        <xdr:cNvPr id="2" name="r_CurrencyChar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133349</xdr:colOff>
      <xdr:row>12</xdr:row>
      <xdr:rowOff>76200</xdr:rowOff>
    </xdr:from>
    <xdr:to>
      <xdr:col>8</xdr:col>
      <xdr:colOff>561974</xdr:colOff>
      <xdr:row>23</xdr:row>
      <xdr:rowOff>190500</xdr:rowOff>
    </xdr:to>
    <xdr:graphicFrame macro="">
      <xdr:nvGraphicFramePr>
        <xdr:cNvPr id="2" name="r_LangChar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95250</xdr:colOff>
      <xdr:row>20</xdr:row>
      <xdr:rowOff>38100</xdr:rowOff>
    </xdr:from>
    <xdr:to>
      <xdr:col>2</xdr:col>
      <xdr:colOff>6064885</xdr:colOff>
      <xdr:row>20</xdr:row>
      <xdr:rowOff>2630805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95325" y="7038975"/>
          <a:ext cx="5969635" cy="259270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3638550</xdr:colOff>
      <xdr:row>0</xdr:row>
      <xdr:rowOff>95250</xdr:rowOff>
    </xdr:from>
    <xdr:to>
      <xdr:col>6</xdr:col>
      <xdr:colOff>454937</xdr:colOff>
      <xdr:row>5</xdr:row>
      <xdr:rowOff>438150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72325" y="95250"/>
          <a:ext cx="2226587" cy="1847850"/>
        </a:xfrm>
        <a:prstGeom prst="rect">
          <a:avLst/>
        </a:prstGeom>
      </xdr:spPr>
    </xdr:pic>
    <xdr:clientData/>
  </xdr:twoCellAnchor>
  <xdr:twoCellAnchor>
    <xdr:from>
      <xdr:col>0</xdr:col>
      <xdr:colOff>209550</xdr:colOff>
      <xdr:row>5</xdr:row>
      <xdr:rowOff>9525</xdr:rowOff>
    </xdr:from>
    <xdr:to>
      <xdr:col>4</xdr:col>
      <xdr:colOff>3333750</xdr:colOff>
      <xdr:row>6</xdr:row>
      <xdr:rowOff>133349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9550" y="1514475"/>
          <a:ext cx="6657975" cy="68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The objective of this workbook (and the associated Word and PowerPoint templates) is to demonstrate select "Advanced" features of the add-in.</a:t>
          </a:r>
        </a:p>
      </xdr:txBody>
    </xdr:sp>
    <xdr:clientData/>
  </xdr:twoCellAnchor>
  <xdr:twoCellAnchor>
    <xdr:from>
      <xdr:col>0</xdr:col>
      <xdr:colOff>152400</xdr:colOff>
      <xdr:row>1</xdr:row>
      <xdr:rowOff>28575</xdr:rowOff>
    </xdr:from>
    <xdr:to>
      <xdr:col>4</xdr:col>
      <xdr:colOff>3105150</xdr:colOff>
      <xdr:row>2</xdr:row>
      <xdr:rowOff>85725</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52400" y="228600"/>
          <a:ext cx="64865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Excel-to-Word Document Automation Add-In updates Word and PowerPoint content (text, tables, lists, and charts) based on Excel data, analysis, and calculations.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962025</xdr:colOff>
      <xdr:row>27</xdr:row>
      <xdr:rowOff>0</xdr:rowOff>
    </xdr:from>
    <xdr:to>
      <xdr:col>7</xdr:col>
      <xdr:colOff>66675</xdr:colOff>
      <xdr:row>30</xdr:row>
      <xdr:rowOff>28575</xdr:rowOff>
    </xdr:to>
    <xdr:sp macro="" textlink="">
      <xdr:nvSpPr>
        <xdr:cNvPr id="2" name="Corners Rounded 1">
          <a:extLst>
            <a:ext uri="{FF2B5EF4-FFF2-40B4-BE49-F238E27FC236}">
              <a16:creationId xmlns:a16="http://schemas.microsoft.com/office/drawing/2014/main" id="{00000000-0008-0000-0200-000002000000}"/>
            </a:ext>
          </a:extLst>
        </xdr:cNvPr>
        <xdr:cNvSpPr/>
      </xdr:nvSpPr>
      <xdr:spPr>
        <a:xfrm>
          <a:off x="9163050" y="6315075"/>
          <a:ext cx="2466975" cy="1123950"/>
        </a:xfrm>
        <a:prstGeom prst="wedgeRoundRectCallout">
          <a:avLst>
            <a:gd name="adj1" fmla="val -132793"/>
            <a:gd name="adj2" fmla="val 15081"/>
            <a:gd name="adj3" fmla="val 16667"/>
          </a:avLst>
        </a:prstGeom>
        <a:solidFill>
          <a:srgbClr val="000000">
            <a:alpha val="25098"/>
          </a:srgb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Lists can also be created</a:t>
          </a:r>
          <a:r>
            <a:rPr lang="en-US" sz="1100" baseline="0"/>
            <a:t> using an array formula. You must enter the formula by Shift-Ctrl-Enter - If done correctly, the formula will be surrounded by brackets.</a:t>
          </a:r>
        </a:p>
      </xdr:txBody>
    </xdr:sp>
    <xdr:clientData/>
  </xdr:twoCellAnchor>
  <xdr:twoCellAnchor>
    <xdr:from>
      <xdr:col>5</xdr:col>
      <xdr:colOff>1209676</xdr:colOff>
      <xdr:row>20</xdr:row>
      <xdr:rowOff>152400</xdr:rowOff>
    </xdr:from>
    <xdr:to>
      <xdr:col>6</xdr:col>
      <xdr:colOff>857251</xdr:colOff>
      <xdr:row>22</xdr:row>
      <xdr:rowOff>104775</xdr:rowOff>
    </xdr:to>
    <xdr:sp macro="" textlink="">
      <xdr:nvSpPr>
        <xdr:cNvPr id="3" name="Corners Rounded 2">
          <a:extLst>
            <a:ext uri="{FF2B5EF4-FFF2-40B4-BE49-F238E27FC236}">
              <a16:creationId xmlns:a16="http://schemas.microsoft.com/office/drawing/2014/main" id="{00000000-0008-0000-0200-000003000000}"/>
            </a:ext>
          </a:extLst>
        </xdr:cNvPr>
        <xdr:cNvSpPr/>
      </xdr:nvSpPr>
      <xdr:spPr>
        <a:xfrm>
          <a:off x="9410701" y="4752975"/>
          <a:ext cx="1752600" cy="600075"/>
        </a:xfrm>
        <a:prstGeom prst="wedgeRoundRectCallout">
          <a:avLst>
            <a:gd name="adj1" fmla="val -172104"/>
            <a:gd name="adj2" fmla="val -14472"/>
            <a:gd name="adj3" fmla="val 16667"/>
          </a:avLst>
        </a:prstGeom>
        <a:solidFill>
          <a:srgbClr val="000000">
            <a:alpha val="25098"/>
          </a:srgb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You can create lists using textjoin()</a:t>
          </a:r>
        </a:p>
      </xdr:txBody>
    </xdr:sp>
    <xdr:clientData/>
  </xdr:twoCellAnchor>
  <xdr:twoCellAnchor>
    <xdr:from>
      <xdr:col>5</xdr:col>
      <xdr:colOff>257175</xdr:colOff>
      <xdr:row>38</xdr:row>
      <xdr:rowOff>533400</xdr:rowOff>
    </xdr:from>
    <xdr:to>
      <xdr:col>6</xdr:col>
      <xdr:colOff>619125</xdr:colOff>
      <xdr:row>42</xdr:row>
      <xdr:rowOff>0</xdr:rowOff>
    </xdr:to>
    <xdr:sp macro="" textlink="">
      <xdr:nvSpPr>
        <xdr:cNvPr id="4" name="Corners Rounded 3">
          <a:extLst>
            <a:ext uri="{FF2B5EF4-FFF2-40B4-BE49-F238E27FC236}">
              <a16:creationId xmlns:a16="http://schemas.microsoft.com/office/drawing/2014/main" id="{00000000-0008-0000-0200-000004000000}"/>
            </a:ext>
          </a:extLst>
        </xdr:cNvPr>
        <xdr:cNvSpPr/>
      </xdr:nvSpPr>
      <xdr:spPr>
        <a:xfrm>
          <a:off x="8458200" y="9629775"/>
          <a:ext cx="2466975" cy="666750"/>
        </a:xfrm>
        <a:prstGeom prst="wedgeRoundRectCallout">
          <a:avLst>
            <a:gd name="adj1" fmla="val -170631"/>
            <a:gd name="adj2" fmla="val -95742"/>
            <a:gd name="adj3" fmla="val 16667"/>
          </a:avLst>
        </a:prstGeom>
        <a:solidFill>
          <a:srgbClr val="000000">
            <a:alpha val="25098"/>
          </a:srgb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If you have a large amout</a:t>
          </a:r>
          <a:r>
            <a:rPr lang="en-US" sz="1100" baseline="0"/>
            <a:t> of text, you must use concat()</a:t>
          </a:r>
        </a:p>
      </xdr:txBody>
    </xdr:sp>
    <xdr:clientData/>
  </xdr:twoCellAnchor>
  <xdr:twoCellAnchor>
    <xdr:from>
      <xdr:col>4</xdr:col>
      <xdr:colOff>4229100</xdr:colOff>
      <xdr:row>7</xdr:row>
      <xdr:rowOff>47625</xdr:rowOff>
    </xdr:from>
    <xdr:to>
      <xdr:col>5</xdr:col>
      <xdr:colOff>1476375</xdr:colOff>
      <xdr:row>9</xdr:row>
      <xdr:rowOff>0</xdr:rowOff>
    </xdr:to>
    <xdr:sp macro="" textlink="">
      <xdr:nvSpPr>
        <xdr:cNvPr id="5" name="Corners Rounded 4">
          <a:extLst>
            <a:ext uri="{FF2B5EF4-FFF2-40B4-BE49-F238E27FC236}">
              <a16:creationId xmlns:a16="http://schemas.microsoft.com/office/drawing/2014/main" id="{00000000-0008-0000-0200-000005000000}"/>
            </a:ext>
          </a:extLst>
        </xdr:cNvPr>
        <xdr:cNvSpPr/>
      </xdr:nvSpPr>
      <xdr:spPr>
        <a:xfrm>
          <a:off x="6981825" y="1971675"/>
          <a:ext cx="2686050" cy="581025"/>
        </a:xfrm>
        <a:prstGeom prst="wedgeRoundRectCallout">
          <a:avLst>
            <a:gd name="adj1" fmla="val -148191"/>
            <a:gd name="adj2" fmla="val 10276"/>
            <a:gd name="adj3" fmla="val 16667"/>
          </a:avLst>
        </a:prstGeom>
        <a:solidFill>
          <a:srgbClr val="000000">
            <a:alpha val="25098"/>
          </a:srgb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The text() formula is commonly used to add data into text.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228600</xdr:colOff>
      <xdr:row>0</xdr:row>
      <xdr:rowOff>238125</xdr:rowOff>
    </xdr:from>
    <xdr:to>
      <xdr:col>5</xdr:col>
      <xdr:colOff>162303</xdr:colOff>
      <xdr:row>20</xdr:row>
      <xdr:rowOff>96002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8258175" y="238125"/>
          <a:ext cx="2705478" cy="5391902"/>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133350</xdr:colOff>
      <xdr:row>10</xdr:row>
      <xdr:rowOff>171450</xdr:rowOff>
    </xdr:from>
    <xdr:to>
      <xdr:col>7</xdr:col>
      <xdr:colOff>466725</xdr:colOff>
      <xdr:row>10</xdr:row>
      <xdr:rowOff>819150</xdr:rowOff>
    </xdr:to>
    <xdr:sp macro="" textlink="">
      <xdr:nvSpPr>
        <xdr:cNvPr id="2" name="Corners Rounded 1">
          <a:extLst>
            <a:ext uri="{FF2B5EF4-FFF2-40B4-BE49-F238E27FC236}">
              <a16:creationId xmlns:a16="http://schemas.microsoft.com/office/drawing/2014/main" id="{00000000-0008-0000-0400-000002000000}"/>
            </a:ext>
          </a:extLst>
        </xdr:cNvPr>
        <xdr:cNvSpPr/>
      </xdr:nvSpPr>
      <xdr:spPr>
        <a:xfrm>
          <a:off x="647700" y="4724400"/>
          <a:ext cx="6410325" cy="647700"/>
        </a:xfrm>
        <a:prstGeom prst="wedgeRoundRectCallout">
          <a:avLst>
            <a:gd name="adj1" fmla="val -11072"/>
            <a:gd name="adj2" fmla="val 87509"/>
            <a:gd name="adj3" fmla="val 16667"/>
          </a:avLst>
        </a:prstGeom>
        <a:solidFill>
          <a:srgbClr val="ED7D31">
            <a:alpha val="20000"/>
          </a:srgb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1000" b="1" baseline="0">
              <a:solidFill>
                <a:sysClr val="windowText" lastClr="000000"/>
              </a:solidFill>
            </a:rPr>
            <a:t>To fix misplacement of merged cell text:  </a:t>
          </a:r>
          <a:r>
            <a:rPr lang="en-US" sz="1000" baseline="0">
              <a:solidFill>
                <a:sysClr val="windowText" lastClr="000000"/>
              </a:solidFill>
            </a:rPr>
            <a:t>Often with tables with merged cells, data is not placed in the desired cell in Word/PowerPoint.  To correct this, place spaces in cells to the left of the cells in rows that have misplaced text. In the table below, spaces were placed in the 2 cells to the left of "Initial One-Time".</a:t>
          </a:r>
        </a:p>
      </xdr:txBody>
    </xdr:sp>
    <xdr:clientData/>
  </xdr:twoCellAnchor>
  <xdr:twoCellAnchor editAs="oneCell">
    <xdr:from>
      <xdr:col>2</xdr:col>
      <xdr:colOff>95249</xdr:colOff>
      <xdr:row>5</xdr:row>
      <xdr:rowOff>38100</xdr:rowOff>
    </xdr:from>
    <xdr:to>
      <xdr:col>9</xdr:col>
      <xdr:colOff>266748</xdr:colOff>
      <xdr:row>5</xdr:row>
      <xdr:rowOff>1438275</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609599" y="2390775"/>
          <a:ext cx="7620049" cy="1400175"/>
        </a:xfrm>
        <a:prstGeom prst="rect">
          <a:avLst/>
        </a:prstGeom>
      </xdr:spPr>
    </xdr:pic>
    <xdr:clientData/>
  </xdr:twoCellAnchor>
  <xdr:twoCellAnchor>
    <xdr:from>
      <xdr:col>2</xdr:col>
      <xdr:colOff>1609725</xdr:colOff>
      <xdr:row>19</xdr:row>
      <xdr:rowOff>66674</xdr:rowOff>
    </xdr:from>
    <xdr:to>
      <xdr:col>4</xdr:col>
      <xdr:colOff>190501</xdr:colOff>
      <xdr:row>21</xdr:row>
      <xdr:rowOff>9524</xdr:rowOff>
    </xdr:to>
    <xdr:sp macro="" textlink="">
      <xdr:nvSpPr>
        <xdr:cNvPr id="10" name="Corners Rounded 7">
          <a:extLst>
            <a:ext uri="{FF2B5EF4-FFF2-40B4-BE49-F238E27FC236}">
              <a16:creationId xmlns:a16="http://schemas.microsoft.com/office/drawing/2014/main" id="{00000000-0008-0000-0400-00000A000000}"/>
            </a:ext>
          </a:extLst>
        </xdr:cNvPr>
        <xdr:cNvSpPr/>
      </xdr:nvSpPr>
      <xdr:spPr>
        <a:xfrm>
          <a:off x="2124075" y="7953374"/>
          <a:ext cx="1781176" cy="809625"/>
        </a:xfrm>
        <a:prstGeom prst="wedgeRoundRectCallout">
          <a:avLst>
            <a:gd name="adj1" fmla="val -109114"/>
            <a:gd name="adj2" fmla="val -128097"/>
            <a:gd name="adj3" fmla="val 16667"/>
          </a:avLst>
        </a:prstGeom>
        <a:solidFill>
          <a:schemeClr val="accent1">
            <a:lumMod val="20000"/>
            <a:lumOff val="80000"/>
            <a:alpha val="20000"/>
          </a:schemeClr>
        </a:solidFill>
        <a:ln>
          <a:solidFill>
            <a:schemeClr val="bg1">
              <a:lumMod val="8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1000" b="0" baseline="0">
              <a:solidFill>
                <a:schemeClr val="tx1">
                  <a:lumMod val="50000"/>
                  <a:lumOff val="50000"/>
                </a:schemeClr>
              </a:solidFill>
            </a:rPr>
            <a:t>To disable updating of these cells: text is preceded by U</a:t>
          </a:r>
          <a:r>
            <a:rPr lang="en-US" sz="1000" baseline="0">
              <a:solidFill>
                <a:schemeClr val="tx1">
                  <a:lumMod val="50000"/>
                  <a:lumOff val="50000"/>
                </a:schemeClr>
              </a:solidFill>
            </a:rPr>
            <a:t>NICHAR(8205); which is an invisible character. </a:t>
          </a:r>
        </a:p>
      </xdr:txBody>
    </xdr:sp>
    <xdr:clientData/>
  </xdr:twoCellAnchor>
  <xdr:twoCellAnchor>
    <xdr:from>
      <xdr:col>4</xdr:col>
      <xdr:colOff>257177</xdr:colOff>
      <xdr:row>19</xdr:row>
      <xdr:rowOff>95249</xdr:rowOff>
    </xdr:from>
    <xdr:to>
      <xdr:col>5</xdr:col>
      <xdr:colOff>523876</xdr:colOff>
      <xdr:row>20</xdr:row>
      <xdr:rowOff>361949</xdr:rowOff>
    </xdr:to>
    <xdr:sp macro="" textlink="">
      <xdr:nvSpPr>
        <xdr:cNvPr id="9" name="Corners Rounded 8">
          <a:extLst>
            <a:ext uri="{FF2B5EF4-FFF2-40B4-BE49-F238E27FC236}">
              <a16:creationId xmlns:a16="http://schemas.microsoft.com/office/drawing/2014/main" id="{00000000-0008-0000-0400-000009000000}"/>
            </a:ext>
          </a:extLst>
        </xdr:cNvPr>
        <xdr:cNvSpPr/>
      </xdr:nvSpPr>
      <xdr:spPr>
        <a:xfrm>
          <a:off x="3971927" y="6819899"/>
          <a:ext cx="1266824" cy="704850"/>
        </a:xfrm>
        <a:prstGeom prst="wedgeRoundRectCallout">
          <a:avLst>
            <a:gd name="adj1" fmla="val -127673"/>
            <a:gd name="adj2" fmla="val -165662"/>
            <a:gd name="adj3" fmla="val 16667"/>
          </a:avLst>
        </a:prstGeom>
        <a:solidFill>
          <a:schemeClr val="accent1">
            <a:lumMod val="20000"/>
            <a:lumOff val="80000"/>
            <a:alpha val="20000"/>
          </a:schemeClr>
        </a:solidFill>
        <a:ln>
          <a:solidFill>
            <a:schemeClr val="bg1">
              <a:lumMod val="8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1000" b="0" baseline="0">
              <a:solidFill>
                <a:schemeClr val="tx1">
                  <a:lumMod val="50000"/>
                  <a:lumOff val="50000"/>
                </a:schemeClr>
              </a:solidFill>
            </a:rPr>
            <a:t>To disable updating of these cells: text is preceded by !~</a:t>
          </a:r>
          <a:endParaRPr lang="en-US" sz="1000" baseline="0">
            <a:solidFill>
              <a:schemeClr val="tx1">
                <a:lumMod val="50000"/>
                <a:lumOff val="50000"/>
              </a:schemeClr>
            </a:solidFill>
          </a:endParaRPr>
        </a:p>
      </xdr:txBody>
    </xdr:sp>
    <xdr:clientData/>
  </xdr:twoCellAnchor>
  <xdr:twoCellAnchor editAs="oneCell">
    <xdr:from>
      <xdr:col>6</xdr:col>
      <xdr:colOff>238125</xdr:colOff>
      <xdr:row>34</xdr:row>
      <xdr:rowOff>9525</xdr:rowOff>
    </xdr:from>
    <xdr:to>
      <xdr:col>10</xdr:col>
      <xdr:colOff>372</xdr:colOff>
      <xdr:row>44</xdr:row>
      <xdr:rowOff>581509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953125" y="13544550"/>
          <a:ext cx="2667372" cy="3467584"/>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85724</xdr:colOff>
      <xdr:row>29</xdr:row>
      <xdr:rowOff>200025</xdr:rowOff>
    </xdr:from>
    <xdr:to>
      <xdr:col>8</xdr:col>
      <xdr:colOff>333375</xdr:colOff>
      <xdr:row>36</xdr:row>
      <xdr:rowOff>9525</xdr:rowOff>
    </xdr:to>
    <xdr:sp macro="" textlink="">
      <xdr:nvSpPr>
        <xdr:cNvPr id="2" name="speech">
          <a:extLst>
            <a:ext uri="{FF2B5EF4-FFF2-40B4-BE49-F238E27FC236}">
              <a16:creationId xmlns:a16="http://schemas.microsoft.com/office/drawing/2014/main" id="{00000000-0008-0000-0500-000002000000}"/>
            </a:ext>
          </a:extLst>
        </xdr:cNvPr>
        <xdr:cNvSpPr/>
      </xdr:nvSpPr>
      <xdr:spPr>
        <a:xfrm>
          <a:off x="5924549" y="9505950"/>
          <a:ext cx="1600201" cy="1276350"/>
        </a:xfrm>
        <a:prstGeom prst="wedgeRoundRectCallout">
          <a:avLst>
            <a:gd name="adj1" fmla="val -411254"/>
            <a:gd name="adj2" fmla="val 81245"/>
            <a:gd name="adj3" fmla="val 16667"/>
          </a:avLst>
        </a:prstGeom>
        <a:solidFill>
          <a:schemeClr val="bg2">
            <a:alpha val="25098"/>
          </a:schemeClr>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Tip: if you hide some rows, they will not appear in Word if "Include hidden rows &amp; columns" is set to "No"</a:t>
          </a:r>
        </a:p>
      </xdr:txBody>
    </xdr:sp>
    <xdr:clientData/>
  </xdr:twoCellAnchor>
  <xdr:twoCellAnchor editAs="oneCell">
    <xdr:from>
      <xdr:col>7</xdr:col>
      <xdr:colOff>9525</xdr:colOff>
      <xdr:row>34</xdr:row>
      <xdr:rowOff>180975</xdr:rowOff>
    </xdr:from>
    <xdr:to>
      <xdr:col>9</xdr:col>
      <xdr:colOff>657507</xdr:colOff>
      <xdr:row>42</xdr:row>
      <xdr:rowOff>95411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515100" y="10534650"/>
          <a:ext cx="2019582" cy="115268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133350</xdr:colOff>
      <xdr:row>11</xdr:row>
      <xdr:rowOff>57150</xdr:rowOff>
    </xdr:from>
    <xdr:to>
      <xdr:col>8</xdr:col>
      <xdr:colOff>657225</xdr:colOff>
      <xdr:row>17</xdr:row>
      <xdr:rowOff>85725</xdr:rowOff>
    </xdr:to>
    <xdr:sp macro="" textlink="">
      <xdr:nvSpPr>
        <xdr:cNvPr id="5" name="Speech Bubble">
          <a:extLst>
            <a:ext uri="{FF2B5EF4-FFF2-40B4-BE49-F238E27FC236}">
              <a16:creationId xmlns:a16="http://schemas.microsoft.com/office/drawing/2014/main" id="{00000000-0008-0000-0500-000005000000}"/>
            </a:ext>
          </a:extLst>
        </xdr:cNvPr>
        <xdr:cNvSpPr/>
      </xdr:nvSpPr>
      <xdr:spPr>
        <a:xfrm>
          <a:off x="5972175" y="1200150"/>
          <a:ext cx="1419225" cy="1219200"/>
        </a:xfrm>
        <a:prstGeom prst="wedgeRoundRectCallout">
          <a:avLst>
            <a:gd name="adj1" fmla="val -112133"/>
            <a:gd name="adj2" fmla="val -55474"/>
            <a:gd name="adj3" fmla="val 16667"/>
          </a:avLst>
        </a:prstGeom>
        <a:solidFill>
          <a:schemeClr val="bg2">
            <a:alpha val="25098"/>
          </a:schemeClr>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This table is set to have white background, use Word default font, and </a:t>
          </a:r>
          <a:r>
            <a:rPr lang="en-US" sz="1100" baseline="0">
              <a:solidFill>
                <a:schemeClr val="dk1"/>
              </a:solidFill>
              <a:effectLst/>
              <a:latin typeface="+mn-lt"/>
              <a:ea typeface="+mn-ea"/>
              <a:cs typeface="+mn-cs"/>
            </a:rPr>
            <a:t>black text</a:t>
          </a:r>
          <a:endParaRPr lang="en-US" sz="1100" baseline="0"/>
        </a:p>
      </xdr:txBody>
    </xdr:sp>
    <xdr:clientData/>
  </xdr:twoCellAnchor>
  <xdr:twoCellAnchor editAs="oneCell">
    <xdr:from>
      <xdr:col>6</xdr:col>
      <xdr:colOff>257175</xdr:colOff>
      <xdr:row>15</xdr:row>
      <xdr:rowOff>114300</xdr:rowOff>
    </xdr:from>
    <xdr:to>
      <xdr:col>9</xdr:col>
      <xdr:colOff>247933</xdr:colOff>
      <xdr:row>23</xdr:row>
      <xdr:rowOff>105008</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6096000" y="6467475"/>
          <a:ext cx="2029108" cy="166710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219074</xdr:colOff>
      <xdr:row>54</xdr:row>
      <xdr:rowOff>76200</xdr:rowOff>
    </xdr:from>
    <xdr:to>
      <xdr:col>6</xdr:col>
      <xdr:colOff>142875</xdr:colOff>
      <xdr:row>62</xdr:row>
      <xdr:rowOff>0</xdr:rowOff>
    </xdr:to>
    <xdr:sp macro="" textlink="">
      <xdr:nvSpPr>
        <xdr:cNvPr id="7" name="Speech Bubble:">
          <a:extLst>
            <a:ext uri="{FF2B5EF4-FFF2-40B4-BE49-F238E27FC236}">
              <a16:creationId xmlns:a16="http://schemas.microsoft.com/office/drawing/2014/main" id="{00000000-0008-0000-0500-000007000000}"/>
            </a:ext>
          </a:extLst>
        </xdr:cNvPr>
        <xdr:cNvSpPr/>
      </xdr:nvSpPr>
      <xdr:spPr>
        <a:xfrm>
          <a:off x="4381499" y="10344150"/>
          <a:ext cx="1600201" cy="1562100"/>
        </a:xfrm>
        <a:prstGeom prst="wedgeRoundRectCallout">
          <a:avLst>
            <a:gd name="adj1" fmla="val -279110"/>
            <a:gd name="adj2" fmla="val -46257"/>
            <a:gd name="adj3" fmla="val 16667"/>
          </a:avLst>
        </a:prstGeom>
        <a:solidFill>
          <a:schemeClr val="bg2">
            <a:alpha val="25098"/>
          </a:schemeClr>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Tip: merge these section title cells; otherwise the 1st 2 columns in Word will be very wide to fit the content.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28576</xdr:colOff>
      <xdr:row>6</xdr:row>
      <xdr:rowOff>1</xdr:rowOff>
    </xdr:from>
    <xdr:to>
      <xdr:col>4</xdr:col>
      <xdr:colOff>1247776</xdr:colOff>
      <xdr:row>10</xdr:row>
      <xdr:rowOff>247651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409575</xdr:colOff>
          <xdr:row>26</xdr:row>
          <xdr:rowOff>0</xdr:rowOff>
        </xdr:from>
        <xdr:to>
          <xdr:col>3</xdr:col>
          <xdr:colOff>419100</xdr:colOff>
          <xdr:row>28</xdr:row>
          <xdr:rowOff>9525</xdr:rowOff>
        </xdr:to>
        <xdr:pic>
          <xdr:nvPicPr>
            <xdr:cNvPr id="9" name="r_RangeImageBorderFix">
              <a:extLst>
                <a:ext uri="{FF2B5EF4-FFF2-40B4-BE49-F238E27FC236}">
                  <a16:creationId xmlns:a16="http://schemas.microsoft.com/office/drawing/2014/main" id="{00000000-0008-0000-0600-000009000000}"/>
                </a:ext>
              </a:extLst>
            </xdr:cNvPr>
            <xdr:cNvPicPr>
              <a:picLocks noChangeAspect="1" noChangeArrowheads="1"/>
              <a:extLst>
                <a:ext uri="{84589F7E-364E-4C9E-8A38-B11213B215E9}">
                  <a14:cameraTool cellRange="$B$19:$C$20" spid="_x0000_s58029"/>
                </a:ext>
              </a:extLst>
            </xdr:cNvPicPr>
          </xdr:nvPicPr>
          <xdr:blipFill>
            <a:blip xmlns:r="http://schemas.openxmlformats.org/officeDocument/2006/relationships" r:embed="rId2"/>
            <a:srcRect/>
            <a:stretch>
              <a:fillRect/>
            </a:stretch>
          </xdr:blipFill>
          <xdr:spPr bwMode="auto">
            <a:xfrm>
              <a:off x="590550" y="7458075"/>
              <a:ext cx="3076575" cy="4095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47625</xdr:colOff>
      <xdr:row>79</xdr:row>
      <xdr:rowOff>123824</xdr:rowOff>
    </xdr:from>
    <xdr:to>
      <xdr:col>7</xdr:col>
      <xdr:colOff>485775</xdr:colOff>
      <xdr:row>91</xdr:row>
      <xdr:rowOff>66674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200025</xdr:colOff>
      <xdr:row>28</xdr:row>
      <xdr:rowOff>104775</xdr:rowOff>
    </xdr:from>
    <xdr:to>
      <xdr:col>10</xdr:col>
      <xdr:colOff>657225</xdr:colOff>
      <xdr:row>39</xdr:row>
      <xdr:rowOff>123825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161925</xdr:colOff>
      <xdr:row>28</xdr:row>
      <xdr:rowOff>104775</xdr:rowOff>
    </xdr:from>
    <xdr:to>
      <xdr:col>11</xdr:col>
      <xdr:colOff>3362325</xdr:colOff>
      <xdr:row>39</xdr:row>
      <xdr:rowOff>123825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352426</xdr:colOff>
      <xdr:row>40</xdr:row>
      <xdr:rowOff>114300</xdr:rowOff>
    </xdr:from>
    <xdr:to>
      <xdr:col>6</xdr:col>
      <xdr:colOff>19051</xdr:colOff>
      <xdr:row>52</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200025</xdr:colOff>
      <xdr:row>40</xdr:row>
      <xdr:rowOff>114300</xdr:rowOff>
    </xdr:from>
    <xdr:to>
      <xdr:col>10</xdr:col>
      <xdr:colOff>657225</xdr:colOff>
      <xdr:row>52</xdr:row>
      <xdr:rowOff>114300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133350</xdr:colOff>
      <xdr:row>94</xdr:row>
      <xdr:rowOff>28574</xdr:rowOff>
    </xdr:from>
    <xdr:to>
      <xdr:col>7</xdr:col>
      <xdr:colOff>571500</xdr:colOff>
      <xdr:row>105</xdr:row>
      <xdr:rowOff>142874</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111</xdr:row>
      <xdr:rowOff>9525</xdr:rowOff>
    </xdr:from>
    <xdr:to>
      <xdr:col>11</xdr:col>
      <xdr:colOff>114300</xdr:colOff>
      <xdr:row>123</xdr:row>
      <xdr:rowOff>123826</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352426</xdr:colOff>
      <xdr:row>53</xdr:row>
      <xdr:rowOff>104775</xdr:rowOff>
    </xdr:from>
    <xdr:to>
      <xdr:col>6</xdr:col>
      <xdr:colOff>19051</xdr:colOff>
      <xdr:row>65</xdr:row>
      <xdr:rowOff>104775</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200025</xdr:colOff>
      <xdr:row>53</xdr:row>
      <xdr:rowOff>104775</xdr:rowOff>
    </xdr:from>
    <xdr:to>
      <xdr:col>10</xdr:col>
      <xdr:colOff>657225</xdr:colOff>
      <xdr:row>65</xdr:row>
      <xdr:rowOff>104775</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161925</xdr:colOff>
      <xdr:row>40</xdr:row>
      <xdr:rowOff>114300</xdr:rowOff>
    </xdr:from>
    <xdr:to>
      <xdr:col>11</xdr:col>
      <xdr:colOff>3362325</xdr:colOff>
      <xdr:row>52</xdr:row>
      <xdr:rowOff>114300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161925</xdr:colOff>
      <xdr:row>53</xdr:row>
      <xdr:rowOff>104775</xdr:rowOff>
    </xdr:from>
    <xdr:to>
      <xdr:col>11</xdr:col>
      <xdr:colOff>3362325</xdr:colOff>
      <xdr:row>65</xdr:row>
      <xdr:rowOff>104775</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95250</xdr:colOff>
      <xdr:row>94</xdr:row>
      <xdr:rowOff>19049</xdr:rowOff>
    </xdr:from>
    <xdr:to>
      <xdr:col>11</xdr:col>
      <xdr:colOff>3295650</xdr:colOff>
      <xdr:row>105</xdr:row>
      <xdr:rowOff>133349</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33336</xdr:colOff>
      <xdr:row>79</xdr:row>
      <xdr:rowOff>114300</xdr:rowOff>
    </xdr:from>
    <xdr:to>
      <xdr:col>11</xdr:col>
      <xdr:colOff>1771649</xdr:colOff>
      <xdr:row>91</xdr:row>
      <xdr:rowOff>85725</xdr:rowOff>
    </xdr:to>
    <xdr:graphicFrame macro="">
      <xdr:nvGraphicFramePr>
        <xdr:cNvPr id="21" name="Chart 20">
          <a:extLst>
            <a:ext uri="{FF2B5EF4-FFF2-40B4-BE49-F238E27FC236}">
              <a16:creationId xmlns:a16="http://schemas.microsoft.com/office/drawing/2014/main" id="{00000000-0008-0000-0B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519112</xdr:colOff>
      <xdr:row>128</xdr:row>
      <xdr:rowOff>0</xdr:rowOff>
    </xdr:from>
    <xdr:to>
      <xdr:col>11</xdr:col>
      <xdr:colOff>1662112</xdr:colOff>
      <xdr:row>140</xdr:row>
      <xdr:rowOff>180975</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DFD5AC4B-3567-B4EF-69F8-34C1B6EC38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4643437" y="28651200"/>
              <a:ext cx="4572000" cy="25812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119063</xdr:colOff>
      <xdr:row>67</xdr:row>
      <xdr:rowOff>152399</xdr:rowOff>
    </xdr:from>
    <xdr:to>
      <xdr:col>10</xdr:col>
      <xdr:colOff>438151</xdr:colOff>
      <xdr:row>77</xdr:row>
      <xdr:rowOff>76200</xdr:rowOff>
    </xdr:to>
    <xdr:graphicFrame macro="">
      <xdr:nvGraphicFramePr>
        <xdr:cNvPr id="16" name="Chart 15">
          <a:extLst>
            <a:ext uri="{FF2B5EF4-FFF2-40B4-BE49-F238E27FC236}">
              <a16:creationId xmlns:a16="http://schemas.microsoft.com/office/drawing/2014/main" id="{6FF88F00-33DB-8C8A-104E-FC71F083A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261937</xdr:colOff>
      <xdr:row>148</xdr:row>
      <xdr:rowOff>57150</xdr:rowOff>
    </xdr:from>
    <xdr:to>
      <xdr:col>11</xdr:col>
      <xdr:colOff>690562</xdr:colOff>
      <xdr:row>161</xdr:row>
      <xdr:rowOff>200025</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94EE8D37-1715-FF20-AA22-082DC016EA9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3671887" y="3274695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223837</xdr:colOff>
      <xdr:row>169</xdr:row>
      <xdr:rowOff>0</xdr:rowOff>
    </xdr:from>
    <xdr:to>
      <xdr:col>11</xdr:col>
      <xdr:colOff>652462</xdr:colOff>
      <xdr:row>182</xdr:row>
      <xdr:rowOff>142875</xdr:rowOff>
    </xdr:to>
    <mc:AlternateContent xmlns:mc="http://schemas.openxmlformats.org/markup-compatibility/2006">
      <mc:Choice xmlns:cx1="http://schemas.microsoft.com/office/drawing/2015/9/8/chartex" Requires="cx1">
        <xdr:graphicFrame macro="">
          <xdr:nvGraphicFramePr>
            <xdr:cNvPr id="22" name="Chart 21">
              <a:extLst>
                <a:ext uri="{FF2B5EF4-FFF2-40B4-BE49-F238E27FC236}">
                  <a16:creationId xmlns:a16="http://schemas.microsoft.com/office/drawing/2014/main" id="{B58BDB79-740F-3040-911D-45CFCAE385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633787" y="36928425"/>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466724</xdr:colOff>
      <xdr:row>213</xdr:row>
      <xdr:rowOff>28574</xdr:rowOff>
    </xdr:from>
    <xdr:to>
      <xdr:col>9</xdr:col>
      <xdr:colOff>276224</xdr:colOff>
      <xdr:row>223</xdr:row>
      <xdr:rowOff>190499</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52A03DFE-B652-AAE0-DAA6-A963D8BAF08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2409824" y="45796199"/>
              <a:ext cx="4048125" cy="21621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433387</xdr:colOff>
      <xdr:row>227</xdr:row>
      <xdr:rowOff>19050</xdr:rowOff>
    </xdr:from>
    <xdr:to>
      <xdr:col>8</xdr:col>
      <xdr:colOff>552450</xdr:colOff>
      <xdr:row>238</xdr:row>
      <xdr:rowOff>123825</xdr:rowOff>
    </xdr:to>
    <mc:AlternateContent xmlns:mc="http://schemas.openxmlformats.org/markup-compatibility/2006">
      <mc:Choice xmlns:cx2="http://schemas.microsoft.com/office/drawing/2015/10/21/chartex" Requires="cx2">
        <xdr:graphicFrame macro="">
          <xdr:nvGraphicFramePr>
            <xdr:cNvPr id="6" name="Chart 25">
              <a:extLst>
                <a:ext uri="{FF2B5EF4-FFF2-40B4-BE49-F238E27FC236}">
                  <a16:creationId xmlns:a16="http://schemas.microsoft.com/office/drawing/2014/main" id="{C8D49CBF-2FA8-EA5B-C2BA-19D1DC38944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2376487" y="48606075"/>
              <a:ext cx="3671888" cy="23050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29.882429861114" createdVersion="8" refreshedVersion="8" minRefreshableVersion="3" recordCount="16" xr:uid="{16068CCB-743E-4FEA-B28D-2D192EBDC355}">
  <cacheSource type="worksheet">
    <worksheetSource name="Table13"/>
  </cacheSource>
  <cacheFields count="5">
    <cacheField name="Year" numFmtId="0">
      <sharedItems containsSemiMixedTypes="0" containsString="0" containsNumber="1" containsInteger="1" minValue="2015" maxValue="2017" count="3">
        <n v="2017"/>
        <n v="2015"/>
        <n v="2016"/>
      </sharedItems>
    </cacheField>
    <cacheField name="Category" numFmtId="0">
      <sharedItems count="4">
        <s v="Components"/>
        <s v="Clothing"/>
        <s v="Bikes"/>
        <s v="Accessories"/>
      </sharedItems>
    </cacheField>
    <cacheField name="Product" numFmtId="0">
      <sharedItems/>
    </cacheField>
    <cacheField name="Sales" numFmtId="164">
      <sharedItems containsSemiMixedTypes="0" containsString="0" containsNumber="1" containsInteger="1" minValue="600" maxValue="36000"/>
    </cacheField>
    <cacheField name="Rating" numFmtId="9">
      <sharedItems containsSemiMixedTypes="0" containsString="0" containsNumber="1" minValue="0.05"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x v="0"/>
    <s v="Chains"/>
    <n v="20000"/>
    <n v="0.75"/>
  </r>
  <r>
    <x v="1"/>
    <x v="1"/>
    <s v="Socks"/>
    <n v="3700"/>
    <n v="0.22"/>
  </r>
  <r>
    <x v="0"/>
    <x v="1"/>
    <s v="Bib-Shorts"/>
    <n v="4000"/>
    <n v="0.22"/>
  </r>
  <r>
    <x v="1"/>
    <x v="1"/>
    <s v="Shorts"/>
    <n v="13300"/>
    <n v="0.56000000000000005"/>
  </r>
  <r>
    <x v="0"/>
    <x v="1"/>
    <s v="Tights"/>
    <n v="36000"/>
    <n v="1"/>
  </r>
  <r>
    <x v="1"/>
    <x v="0"/>
    <s v="Handlebars"/>
    <n v="2300"/>
    <n v="0.35"/>
  </r>
  <r>
    <x v="2"/>
    <x v="1"/>
    <s v="Socks"/>
    <n v="2300"/>
    <n v="0.28000000000000003"/>
  </r>
  <r>
    <x v="2"/>
    <x v="0"/>
    <s v="Brakes"/>
    <n v="3100"/>
    <n v="0.36"/>
  </r>
  <r>
    <x v="2"/>
    <x v="2"/>
    <s v="Mountain Bikes"/>
    <n v="6300"/>
    <n v="0.4"/>
  </r>
  <r>
    <x v="0"/>
    <x v="0"/>
    <s v="Brakes"/>
    <n v="5100"/>
    <n v="0.38"/>
  </r>
  <r>
    <x v="2"/>
    <x v="3"/>
    <s v="Helmets"/>
    <n v="17000"/>
    <n v="0.9"/>
  </r>
  <r>
    <x v="2"/>
    <x v="3"/>
    <s v="Lights"/>
    <n v="21000"/>
    <n v="0.9"/>
  </r>
  <r>
    <x v="2"/>
    <x v="3"/>
    <s v="Locks"/>
    <n v="29800"/>
    <n v="0.9"/>
  </r>
  <r>
    <x v="2"/>
    <x v="0"/>
    <s v="Botttom Brackets"/>
    <n v="1000"/>
    <n v="0.23"/>
  </r>
  <r>
    <x v="1"/>
    <x v="1"/>
    <s v="Jerseys"/>
    <n v="6700"/>
    <n v="0.05"/>
  </r>
  <r>
    <x v="0"/>
    <x v="0"/>
    <s v="Botttom Brackets"/>
    <n v="600"/>
    <n v="0.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1B1ED6-55D9-423B-A3E3-36F23383B29C}" name="r_PivotImage" cacheId="0" applyNumberFormats="0" applyBorderFormats="0" applyFontFormats="0" applyPatternFormats="0" applyAlignmentFormats="0" applyWidthHeightFormats="1" dataCaption="Values" updatedVersion="8" minRefreshableVersion="3" useAutoFormatting="1" itemPrintTitles="1" createdVersion="8" indent="0" showHeaders="0" outline="1" outlineData="1" multipleFieldFilters="0">
  <location ref="B41:F47" firstHeaderRow="1" firstDataRow="2" firstDataCol="1"/>
  <pivotFields count="5">
    <pivotField axis="axisCol" showAll="0">
      <items count="4">
        <item x="1"/>
        <item x="2"/>
        <item x="0"/>
        <item t="default"/>
      </items>
    </pivotField>
    <pivotField axis="axisRow" showAll="0">
      <items count="5">
        <item x="3"/>
        <item x="2"/>
        <item x="1"/>
        <item x="0"/>
        <item t="default"/>
      </items>
    </pivotField>
    <pivotField showAll="0"/>
    <pivotField dataField="1" numFmtId="164" showAll="0"/>
    <pivotField numFmtId="9" showAll="0"/>
  </pivotFields>
  <rowFields count="1">
    <field x="1"/>
  </rowFields>
  <rowItems count="5">
    <i>
      <x/>
    </i>
    <i>
      <x v="1"/>
    </i>
    <i>
      <x v="2"/>
    </i>
    <i>
      <x v="3"/>
    </i>
    <i t="grand">
      <x/>
    </i>
  </rowItems>
  <colFields count="1">
    <field x="0"/>
  </colFields>
  <colItems count="4">
    <i>
      <x/>
    </i>
    <i>
      <x v="1"/>
    </i>
    <i>
      <x v="2"/>
    </i>
    <i t="grand">
      <x/>
    </i>
  </colItems>
  <dataFields count="1">
    <dataField name="Sum of Sales" fld="3" baseField="0" baseItem="0" numFmtId="164"/>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F2EC72-7EEA-44C2-A08E-26FB70E5DA14}" name="r_PivotDest"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B25:F31" firstHeaderRow="1" firstDataRow="2" firstDataCol="1"/>
  <pivotFields count="5">
    <pivotField axis="axisCol" showAll="0">
      <items count="4">
        <item x="1"/>
        <item x="2"/>
        <item x="0"/>
        <item t="default"/>
      </items>
    </pivotField>
    <pivotField axis="axisRow" showAll="0">
      <items count="5">
        <item x="3"/>
        <item x="2"/>
        <item x="1"/>
        <item x="0"/>
        <item t="default"/>
      </items>
    </pivotField>
    <pivotField showAll="0"/>
    <pivotField dataField="1" numFmtId="164" showAll="0"/>
    <pivotField numFmtId="9" showAll="0"/>
  </pivotFields>
  <rowFields count="1">
    <field x="1"/>
  </rowFields>
  <rowItems count="5">
    <i>
      <x/>
    </i>
    <i>
      <x v="1"/>
    </i>
    <i>
      <x v="2"/>
    </i>
    <i>
      <x v="3"/>
    </i>
    <i t="grand">
      <x/>
    </i>
  </rowItems>
  <colFields count="1">
    <field x="0"/>
  </colFields>
  <colItems count="4">
    <i>
      <x/>
    </i>
    <i>
      <x v="1"/>
    </i>
    <i>
      <x v="2"/>
    </i>
    <i t="grand">
      <x/>
    </i>
  </colItems>
  <dataFields count="1">
    <dataField name="Sum of Sales" fld="3" baseField="0" baseItem="0" numFmtId="164"/>
  </dataField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CE38F24-077C-4BAF-A189-90BCA5A2B121}" name="r_PivotFlex"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B13:F19" firstHeaderRow="1" firstDataRow="2" firstDataCol="1"/>
  <pivotFields count="5">
    <pivotField axis="axisCol" showAll="0">
      <items count="4">
        <item x="1"/>
        <item x="2"/>
        <item x="0"/>
        <item t="default"/>
      </items>
    </pivotField>
    <pivotField axis="axisRow" showAll="0">
      <items count="5">
        <item x="3"/>
        <item x="2"/>
        <item x="1"/>
        <item x="0"/>
        <item t="default"/>
      </items>
    </pivotField>
    <pivotField showAll="0"/>
    <pivotField dataField="1" numFmtId="164" showAll="0"/>
    <pivotField numFmtId="9" showAll="0"/>
  </pivotFields>
  <rowFields count="1">
    <field x="1"/>
  </rowFields>
  <rowItems count="5">
    <i>
      <x/>
    </i>
    <i>
      <x v="1"/>
    </i>
    <i>
      <x v="2"/>
    </i>
    <i>
      <x v="3"/>
    </i>
    <i t="grand">
      <x/>
    </i>
  </rowItems>
  <colFields count="1">
    <field x="0"/>
  </colFields>
  <colItems count="4">
    <i>
      <x/>
    </i>
    <i>
      <x v="1"/>
    </i>
    <i>
      <x v="2"/>
    </i>
    <i t="grand">
      <x/>
    </i>
  </colItems>
  <dataFields count="1">
    <dataField name="Sum of Sales" fld="3" baseField="0" baseItem="0" numFmtId="164"/>
  </dataFields>
  <formats count="26">
    <format dxfId="43">
      <pivotArea outline="0" collapsedLevelsAreSubtotals="1" fieldPosition="0"/>
    </format>
    <format dxfId="42">
      <pivotArea field="1" type="button" dataOnly="0" labelOnly="1" outline="0" axis="axisRow" fieldPosition="0"/>
    </format>
    <format dxfId="41">
      <pivotArea dataOnly="0" labelOnly="1" fieldPosition="0">
        <references count="1">
          <reference field="1" count="0"/>
        </references>
      </pivotArea>
    </format>
    <format dxfId="40">
      <pivotArea dataOnly="0" labelOnly="1" grandRow="1" outline="0" fieldPosition="0"/>
    </format>
    <format dxfId="39">
      <pivotArea dataOnly="0" labelOnly="1" fieldPosition="0">
        <references count="1">
          <reference field="0" count="0"/>
        </references>
      </pivotArea>
    </format>
    <format dxfId="38">
      <pivotArea dataOnly="0" labelOnly="1" grandCol="1" outline="0" fieldPosition="0"/>
    </format>
    <format dxfId="37">
      <pivotArea field="1" type="button" dataOnly="0" labelOnly="1" outline="0" axis="axisRow" fieldPosition="0"/>
    </format>
    <format dxfId="36">
      <pivotArea dataOnly="0" labelOnly="1" fieldPosition="0">
        <references count="1">
          <reference field="0" count="0"/>
        </references>
      </pivotArea>
    </format>
    <format dxfId="35">
      <pivotArea dataOnly="0" labelOnly="1" grandCol="1" outline="0" fieldPosition="0"/>
    </format>
    <format dxfId="34">
      <pivotArea grandRow="1" outline="0" collapsedLevelsAreSubtotals="1" fieldPosition="0"/>
    </format>
    <format dxfId="33">
      <pivotArea dataOnly="0" labelOnly="1" grandRow="1" outline="0" fieldPosition="0"/>
    </format>
    <format dxfId="32">
      <pivotArea dataOnly="0" labelOnly="1" fieldPosition="0">
        <references count="1">
          <reference field="1" count="0"/>
        </references>
      </pivotArea>
    </format>
    <format dxfId="31">
      <pivotArea outline="0" fieldPosition="0">
        <references count="1">
          <reference field="4294967294" count="1">
            <x v="0"/>
          </reference>
        </references>
      </pivotArea>
    </format>
    <format dxfId="30">
      <pivotArea field="1" type="button" dataOnly="0" labelOnly="1" outline="0" axis="axisRow" fieldPosition="0"/>
    </format>
    <format dxfId="29">
      <pivotArea dataOnly="0" labelOnly="1" fieldPosition="0">
        <references count="1">
          <reference field="0" count="0"/>
        </references>
      </pivotArea>
    </format>
    <format dxfId="28">
      <pivotArea dataOnly="0" labelOnly="1" grandCol="1" outline="0" fieldPosition="0"/>
    </format>
    <format dxfId="27">
      <pivotArea grandRow="1" outline="0" collapsedLevelsAreSubtotals="1" fieldPosition="0"/>
    </format>
    <format dxfId="26">
      <pivotArea dataOnly="0" labelOnly="1" grandRow="1" outline="0" fieldPosition="0"/>
    </format>
    <format dxfId="25">
      <pivotArea grandRow="1" outline="0" collapsedLevelsAreSubtotals="1" fieldPosition="0"/>
    </format>
    <format dxfId="24">
      <pivotArea dataOnly="0" labelOnly="1" grandRow="1" outline="0" fieldPosition="0"/>
    </format>
    <format dxfId="23">
      <pivotArea dataOnly="0" labelOnly="1" fieldPosition="0">
        <references count="1">
          <reference field="1" count="0"/>
        </references>
      </pivotArea>
    </format>
    <format dxfId="22">
      <pivotArea field="1" type="button" dataOnly="0" labelOnly="1" outline="0" axis="axisRow" fieldPosition="0"/>
    </format>
    <format dxfId="21">
      <pivotArea dataOnly="0" labelOnly="1" fieldPosition="0">
        <references count="1">
          <reference field="0" count="0"/>
        </references>
      </pivotArea>
    </format>
    <format dxfId="20">
      <pivotArea dataOnly="0" labelOnly="1" grandCol="1" outline="0" fieldPosition="0"/>
    </format>
    <format dxfId="19">
      <pivotArea type="origin" dataOnly="0" labelOnly="1" outline="0" fieldPosition="0"/>
    </format>
    <format dxfId="18">
      <pivotArea field="0"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4</v>
  </rv>
  <rv s="0">
    <v>1</v>
    <v>5</v>
  </rv>
  <rv s="0">
    <v>0</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F394FE-049C-49D1-8E24-42607EC5C0A3}" name="r_LineChart" displayName="r_LineChart" ref="C70:F74" totalsRowShown="0">
  <autoFilter ref="C70:F74" xr:uid="{0DF394FE-049C-49D1-8E24-42607EC5C0A3}"/>
  <tableColumns count="4">
    <tableColumn id="1" xr3:uid="{2B7475A4-3BDC-4760-A586-ECED65421DDE}" name="Year"/>
    <tableColumn id="2" xr3:uid="{98D17ED1-DD33-4FAD-AA09-F6AE5CDAC051}" name="Region A" dataDxfId="74">
      <calculatedColumnFormula>D70*0.8</calculatedColumnFormula>
    </tableColumn>
    <tableColumn id="3" xr3:uid="{33723400-D610-4593-AC78-82B11E1E0CE3}" name="Region B" dataDxfId="73">
      <calculatedColumnFormula>E70*1.2</calculatedColumnFormula>
    </tableColumn>
    <tableColumn id="4" xr3:uid="{9D88A401-FB77-4BC4-BC6E-874B721DA730}" name="Region C" dataDxfId="72">
      <calculatedColumnFormula>F70*1.1</calculatedColumnFormula>
    </tableColumn>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B91BDB5-C557-4E08-B23E-87B8E0C5E3EE}" name="r_BoxAndWhisker" displayName="r_BoxAndWhisker" ref="B170:E192" totalsRowShown="0">
  <autoFilter ref="B170:E192" xr:uid="{CB91BDB5-C557-4E08-B23E-87B8E0C5E3EE}"/>
  <tableColumns count="4">
    <tableColumn id="1" xr3:uid="{D65A59FB-19D0-40EE-BC89-AEF216A7A075}" name="Category"/>
    <tableColumn id="2" xr3:uid="{6E63602F-6DD0-4FE6-8C06-DFC1B129097C}" name="Series1"/>
    <tableColumn id="3" xr3:uid="{5D5C3D36-1F82-4E1D-B5C1-2E91316A92BB}" name="Series2"/>
    <tableColumn id="4" xr3:uid="{777189E9-E5B6-42F7-8AEF-877332DE9105}" name="Series3"/>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7677BC3-3E05-4C01-AF3E-F6AB2DA7AD16}" name="r_MapChart" displayName="r_MapChart" ref="B198:C210" totalsRowShown="0">
  <autoFilter ref="B198:C210" xr:uid="{A7677BC3-3E05-4C01-AF3E-F6AB2DA7AD16}"/>
  <tableColumns count="2">
    <tableColumn id="1" xr3:uid="{70D924B0-2838-4E65-A482-D77241145F3A}" name="Country"/>
    <tableColumn id="2" xr3:uid="{6FB6D17B-EC9C-46FC-A537-4DF8B4675C59}" name="Values"/>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E2EA5CC-FEF9-4936-A590-B113005784B5}" name="r_Waterfall" displayName="r_Waterfall" ref="B214:C222" totalsRowShown="0">
  <autoFilter ref="B214:C222" xr:uid="{7E2EA5CC-FEF9-4936-A590-B113005784B5}"/>
  <tableColumns count="2">
    <tableColumn id="1" xr3:uid="{8B44ED04-1189-4BC7-B743-A323CFB7435D}" name="Category"/>
    <tableColumn id="2" xr3:uid="{36F264E9-6EAF-4B75-AA76-CD70567DCC06}" name="Values"/>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6C9D384-EA81-4AA0-AB3B-FA6C01BF4403}" name="r_Funnel" displayName="r_Funnel" ref="B228:C233" totalsRowShown="0">
  <autoFilter ref="B228:C233" xr:uid="{76C9D384-EA81-4AA0-AB3B-FA6C01BF4403}"/>
  <tableColumns count="2">
    <tableColumn id="1" xr3:uid="{ABDDA27B-A606-495C-8DFC-7AE48F65B950}" name="Category"/>
    <tableColumn id="2" xr3:uid="{B7FB7549-2170-4C67-A25C-D2835150550D}" name="Values"/>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A220E08-86BF-4B3C-8EC7-DC7B21F9D230}" name="r_Scatter" displayName="r_Scatter" ref="B95:C110" totalsRowShown="0" dataDxfId="46">
  <autoFilter ref="B95:C110" xr:uid="{8C6911B4-207C-4B47-BDC4-6B84B7E8CCD1}"/>
  <tableColumns count="2">
    <tableColumn id="1" xr3:uid="{18FFE67C-D473-42FA-9CC9-904B374A1619}" name="X-Values" dataDxfId="45">
      <calculatedColumnFormula>C32</calculatedColumnFormula>
    </tableColumn>
    <tableColumn id="2" xr3:uid="{0D407DC7-CCD5-4F93-992F-CD397DB2D9D7}" name="Y-Values" dataDxfId="44">
      <calculatedColumnFormula>D32</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5CCF203-FF10-49EF-9E15-5EF8CF43EB9B}" name="Table13" displayName="Table13" ref="B56:F72" totalsRowShown="0">
  <autoFilter ref="B56:F72" xr:uid="{F5CCF203-FF10-49EF-9E15-5EF8CF43EB9B}"/>
  <tableColumns count="5">
    <tableColumn id="1" xr3:uid="{81C36C78-52DA-4BEB-88E6-C9F3A7D6DD28}" name="Year"/>
    <tableColumn id="2" xr3:uid="{C027147C-D4CA-4DDD-B7AF-2ABD5540C622}" name="Category"/>
    <tableColumn id="3" xr3:uid="{111EB105-1B09-4928-9C11-171516EFD1FF}" name="Product"/>
    <tableColumn id="4" xr3:uid="{D58C8518-3984-4650-893E-3661A0D0306E}" name="Sales" dataDxfId="17"/>
    <tableColumn id="5" xr3:uid="{877AD8D1-3806-475B-B887-B62C9E5A8563}" name="Rating" dataDxfId="16" dataCellStyle="Percent"/>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9374652-3C6D-4E03-AC2A-87A845508160}" name="Table7" displayName="Table7" ref="B25:E35" totalsRowShown="0">
  <autoFilter ref="B25:E35" xr:uid="{A4FE5359-9850-41F3-B3B2-E44422C1A739}"/>
  <tableColumns count="4">
    <tableColumn id="1" xr3:uid="{5F5B682B-C3E5-40B9-B75B-3E401BD592F8}" name="Sports Car"/>
    <tableColumn id="2" xr3:uid="{145368EC-55E4-455C-975A-BB5FD54FE1DF}" name="Image URL" dataCellStyle="Hyperlink"/>
    <tableColumn id="3" xr3:uid="{178AD71E-11AA-4D9F-8228-809316F7F486}" name="Description"/>
    <tableColumn id="4" xr3:uid="{49E92EF2-FECC-4FAF-9E9D-69AE91E8EA6B}" name="Website URL"/>
  </tableColumns>
  <tableStyleInfo name="TableStyleMedium1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6DE32E-60C4-4D5A-9B35-D5122AD2B470}" name="ReportSectionsToDelete" displayName="ReportSectionsToDelete" ref="C35:D44" totalsRowShown="0" headerRowDxfId="15">
  <autoFilter ref="C35:D44" xr:uid="{DF7C1ED2-17C2-4F6A-BE96-3FB1AE4E347F}"/>
  <tableColumns count="2">
    <tableColumn id="1" xr3:uid="{BFB5D99E-ACB2-40D0-8DCF-DB0538CBF258}" name="Section Name (no spaces or special characters)"/>
    <tableColumn id="2" xr3:uid="{EC37B63A-7B57-44F0-8C34-16A7E74914BC}" name="&quot;Delete&quot; to Remove Section from Report">
      <calculatedColumnFormula>IF(I36=1,"Delete","")</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20EC83E-E3F4-4628-AE10-600444B28D50}" name="in_E2E_Table" displayName="in_E2E_Table" ref="H20:K27" totalsRowShown="0">
  <autoFilter ref="H20:K27" xr:uid="{820EC83E-E3F4-4628-AE10-600444B28D50}"/>
  <tableColumns count="4">
    <tableColumn id="1" xr3:uid="{B56B2218-02C3-4EB8-AF4F-CBA7D9A15652}" name="Merchant"/>
    <tableColumn id="2" xr3:uid="{47A0C161-3968-4C98-B448-2874D1C694B4}" name="Date" dataDxfId="14"/>
    <tableColumn id="3" xr3:uid="{091308CE-91BF-4211-B1BC-B819ED4E3ECD}" name="Category"/>
    <tableColumn id="4" xr3:uid="{A2D5FE13-CBD4-4751-99EF-A6671542486B}" name="Amount" dataDxfId="13" dataCellStyle="Currency"/>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23493AB-5CDA-4EB4-87EC-2C440EFDFD3B}" name="r_E2E_Table" displayName="r_E2E_Table" ref="C20:F27" totalsRowShown="0">
  <autoFilter ref="C20:F27" xr:uid="{423493AB-5CDA-4EB4-87EC-2C440EFDFD3B}"/>
  <tableColumns count="4">
    <tableColumn id="1" xr3:uid="{2F5B7ED1-B1B5-4881-9A07-81F215851D34}" name="Merchant"/>
    <tableColumn id="2" xr3:uid="{BC3945B8-2778-4A5C-BBE0-8F63BAA47A96}" name="Date" dataDxfId="12"/>
    <tableColumn id="3" xr3:uid="{77AFA5CF-8E0D-4DE4-B61A-260E0A092644}" name="Category"/>
    <tableColumn id="4" xr3:uid="{F91FE349-953B-4320-83F0-986A094F62C7}" name="Amount" dataDxfId="11" data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E04AF3-FE0A-4EC2-8E26-9612BF0CD3DB}" name="r_Table_vis" displayName="r_Table_vis" ref="C29:F36" totalsRowShown="0" headerRowBorderDxfId="71" tableBorderDxfId="70" totalsRowBorderDxfId="69">
  <autoFilter ref="C29:F36" xr:uid="{66CDB92B-C3C4-4235-9B83-E4626093647E}">
    <filterColumn colId="2">
      <filters>
        <filter val="Communications"/>
        <filter val="Education"/>
        <filter val="Groceries"/>
        <filter val="Restaurant"/>
      </filters>
    </filterColumn>
  </autoFilter>
  <tableColumns count="4">
    <tableColumn id="1" xr3:uid="{B0A246AC-178C-4000-B826-CF96E9D1867B}" name="Merchant" dataDxfId="68" dataCellStyle="Normal"/>
    <tableColumn id="2" xr3:uid="{91761570-65CE-419F-BEF2-30144C167FB8}" name="Date" dataDxfId="67" dataCellStyle="Normal"/>
    <tableColumn id="3" xr3:uid="{1131C4CB-49C6-4C98-A9E3-137097CF327D}" name="Category" dataDxfId="66" dataCellStyle="Normal"/>
    <tableColumn id="4" xr3:uid="{B3D0A8E5-D1BA-415B-9C20-74BEFE480C12}" name="Amount" dataDxfId="65" dataCellStyle="Normal"/>
  </tableColumns>
  <tableStyleInfo name="TableStyleMedium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9A7A77-4B96-49AF-A828-4C37E369685C}" name="Companies" displayName="Companies" ref="B26:H76" totalsRowShown="0">
  <autoFilter ref="B26:H76" xr:uid="{0CDB66DB-F5B5-4088-BE27-64EAD1A128C9}"/>
  <tableColumns count="7">
    <tableColumn id="2" xr3:uid="{80F09BB5-B85A-4688-9D23-EC5A0710A247}" name="Name"/>
    <tableColumn id="3" xr3:uid="{2531B2DD-44C6-4994-9334-4C3561AB1354}" name="Industry"/>
    <tableColumn id="4" xr3:uid="{F8E9719D-A661-4923-B1F4-DD934DA0C01E}" name="Revenue" dataDxfId="10"/>
    <tableColumn id="5" xr3:uid="{AF3C5087-B660-45EC-A63F-C0880BC292EC}" name="Employees" dataDxfId="9"/>
    <tableColumn id="6" xr3:uid="{F9CB241E-FB50-490E-8F3B-F74ABFB56AEC}" name="Country"/>
    <tableColumn id="7" xr3:uid="{DFF1B927-E238-4583-8421-8277377761CF}" name="First Name" dataDxfId="8"/>
    <tableColumn id="8" xr3:uid="{1C635A2B-124E-45C6-B2EB-8F6A4DBCBA9C}" name="Last Name"/>
  </tableColumns>
  <tableStyleInfo name="TableStyleMedium1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810F4B-D7D4-48E3-A11B-C3DE2EA7D498}" name="Industries" displayName="Industries" ref="B79:C93" totalsRowShown="0">
  <autoFilter ref="B79:C93" xr:uid="{6F78B476-22CE-4BC2-9D8A-431865441586}"/>
  <tableColumns count="2">
    <tableColumn id="1" xr3:uid="{19598765-5751-4BE7-A7EC-0E81AD2166A0}" name="Industry"/>
    <tableColumn id="2" xr3:uid="{E50F6AFF-88F9-4D44-98D9-D3DAE4CFD6E8}" name="Savings Ratio"/>
  </tableColumns>
  <tableStyleInfo name="TableStyleMedium1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9B8EAC3-79B4-473F-AE1E-5D96A3724D73}" name="ExchRateLookups" displayName="ExchRateLookups" ref="B73:D126" totalsRowShown="0">
  <autoFilter ref="B73:D126" xr:uid="{19B8EAC3-79B4-473F-AE1E-5D96A3724D73}"/>
  <tableColumns count="3">
    <tableColumn id="1" xr3:uid="{2A4C31E9-DB3B-4EC7-9839-C3105E419502}" name="Currency"/>
    <tableColumn id="2" xr3:uid="{66B8C888-DB50-4DD8-A67E-22D1B978D8F1}" name="per US Dollar" dataDxfId="7"/>
    <tableColumn id="3" xr3:uid="{A98AD871-4C4A-460B-AD97-625BC269D263}" name="Inverse" dataDxfId="6"/>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CD4EC37-5C4B-4834-A28F-7075795B0ACD}" name="CurrencyTable12" displayName="CurrencyTable12" ref="B44:I69" totalsRowCount="1">
  <autoFilter ref="B44:I68" xr:uid="{0CD4EC37-5C4B-4834-A28F-7075795B0ACD}"/>
  <tableColumns count="8">
    <tableColumn id="1" xr3:uid="{980D4B54-8587-4FFA-A93C-20C05DFB7A9F}" name="Currency" totalsRowLabel="Selected"/>
    <tableColumn id="3" xr3:uid="{490B02E2-D3D8-4E45-ABE1-C0107DDDD68F}" name="CurrencyName" totalsRowFunction="custom">
      <calculatedColumnFormula>B45&amp;" ("&amp;D45&amp;")"</calculatedColumnFormula>
      <totalsRowFormula array="1">INDEX(CurrencyTable12[CurrencyName],CurrencyIndex)</totalsRowFormula>
    </tableColumn>
    <tableColumn id="2" xr3:uid="{A1CB9BB3-0CDE-45DC-A3D3-6BB05E0771B4}" name="Symbol" totalsRowFunction="custom" dataDxfId="5">
      <totalsRowFormula array="1">INDEX(CurrencyTable12[Symbol],CurrencyIndex)</totalsRowFormula>
    </tableColumn>
    <tableColumn id="8" xr3:uid="{CDE2B889-076B-4129-9F04-C8FAD2865A79}" name="Full Code"/>
    <tableColumn id="7" xr3:uid="{A6678F08-D902-400F-9CB1-D6749BF0A7A3}" name="Code" dataDxfId="4"/>
    <tableColumn id="4" xr3:uid="{92216074-47C6-4C21-8559-D5BE43694AA0}" name="Exchange Rate" totalsRowFunction="custom" dataDxfId="3">
      <totalsRowFormula array="1">INDEX(CurrencyTable12[Exchange Rate],CurrencyIndex)</totalsRowFormula>
    </tableColumn>
    <tableColumn id="5" xr3:uid="{1742ECB9-3992-4D0C-8E6A-9C695FF52DB4}" name="TEXT format" totalsRowFunction="custom" dataDxfId="2">
      <calculatedColumnFormula>CurrencyTable12[[#This Row],[Code]]&amp;"#"&amp;SeparatorThou&amp;"##0"&amp;SeparatorDec&amp;"00"</calculatedColumnFormula>
      <totalsRowFormula array="1">INDEX(CurrencyTable12[TEXT format],CurrencyIndex)</totalsRowFormula>
    </tableColumn>
    <tableColumn id="6" xr3:uid="{E52A40F3-11B9-43D4-B4BF-298411DAA438}" name="Example" totalsRowFunction="custom" dataDxfId="1">
      <calculatedColumnFormula>TEXT(K45,CurrencyTable12[[#This Row],[TEXT format]])</calculatedColumnFormula>
      <totalsRowFormula array="1">INDEX(CurrencyTable12[Example],CurrencyIndex)</totalsRow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DCDBFE-820F-44B4-9E3C-57A3A6FA1BBC}" name="Lang" displayName="Lang" ref="C33:G48" totalsRowShown="0">
  <autoFilter ref="C33:G48" xr:uid="{BCA60EA3-F388-4B7B-A12C-9321EB43BA3B}"/>
  <tableColumns count="5">
    <tableColumn id="5" xr3:uid="{6D90E0F2-0552-42A2-ABBC-724B7F3F2580}" name="Category/Item"/>
    <tableColumn id="7" xr3:uid="{38BDAAED-7E6A-42A4-A341-91B3D60CAB45}" name="Selected" dataDxfId="0">
      <calculatedColumnFormula>INDEX(Lang[[#This Row],[English]:[Japanese]],1,$D$4)</calculatedColumnFormula>
    </tableColumn>
    <tableColumn id="1" xr3:uid="{BB7372D4-F0DA-4B54-90C0-4B59CBFBCC74}" name="English"/>
    <tableColumn id="2" xr3:uid="{AF7103A9-A7BE-455A-9AF0-0219699223DA}" name="Spanish"/>
    <tableColumn id="3" xr3:uid="{EA15A59B-A2EA-4F0C-9327-A37D37E62E98}" name="Japanese"/>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CDB9697-BB5A-4DA7-937B-A165D82F3111}" name="r_Scatter2Series" displayName="r_Scatter2Series" ref="I96:K101" totalsRowShown="0" dataDxfId="64">
  <autoFilter ref="I96:K101" xr:uid="{B0110091-1585-485E-9A69-A437A4D40D6E}"/>
  <tableColumns count="3">
    <tableColumn id="1" xr3:uid="{6A8CBBD6-5408-4170-BD35-DCA2E11BBEFF}" name="X-Values" dataDxfId="63"/>
    <tableColumn id="2" xr3:uid="{54A45BEF-C653-4229-B6E9-7AE488377FD3}" name="Y1-Values" dataDxfId="62"/>
    <tableColumn id="3" xr3:uid="{ED6F834D-F21D-4863-9F86-5A5691063800}" name="Y2-Values" dataDxfId="61"/>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517605E-CB4C-4FDC-9506-60CB580AB59D}" name="r_PieCharts" displayName="r_PieCharts" ref="B82:C86" totalsRowShown="0">
  <autoFilter ref="B82:C86" xr:uid="{33C1EB08-3ADC-4067-BB78-AD0CB089C0B6}"/>
  <tableColumns count="2">
    <tableColumn id="1" xr3:uid="{AD357624-924D-4981-A537-A75CAA76665B}" name=" "/>
    <tableColumn id="2" xr3:uid="{AA03FA27-3235-41EB-A180-C512460DEB99}" name="Slice Size" dataDxfId="60">
      <calculatedColumnFormula>C82-1</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39D6E98-9372-4D7E-963D-5A259631875F}" name="Table12" displayName="Table12" ref="B31:E35" totalsRowShown="0">
  <autoFilter ref="B31:E35" xr:uid="{D39D6E98-9372-4D7E-963D-5A259631875F}"/>
  <tableColumns count="4">
    <tableColumn id="1" xr3:uid="{B9B6318D-B741-4F5C-9C27-00940BE27A06}" name=" "/>
    <tableColumn id="2" xr3:uid="{6DE44489-622D-4486-BAE9-C418CA608A4C}" name="Series A" dataDxfId="59">
      <calculatedColumnFormula>C31*0.7</calculatedColumnFormula>
    </tableColumn>
    <tableColumn id="3" xr3:uid="{AD390273-C2E7-4F28-84C8-E1331602DC26}" name="Series B" dataDxfId="58">
      <calculatedColumnFormula>C32/2</calculatedColumnFormula>
    </tableColumn>
    <tableColumn id="4" xr3:uid="{DDDA5243-0C7C-4E73-934D-CC13711CA640}" name="Series C" dataDxfId="57">
      <calculatedColumnFormula>C32*1.5</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CAF3D4-C9D4-477D-BC1E-1D7228476BB7}" name="Table14" displayName="Table14" ref="B114:G119" totalsRowShown="0">
  <autoFilter ref="B114:G119" xr:uid="{1BCAF3D4-C9D4-477D-BC1E-1D7228476BB7}"/>
  <tableColumns count="6">
    <tableColumn id="1" xr3:uid="{4577ACCE-782A-4FF6-B188-2DD8056D9646}" name=" " dataDxfId="56">
      <calculatedColumnFormula>B114+1</calculatedColumnFormula>
    </tableColumn>
    <tableColumn id="2" xr3:uid="{1B9D7A12-1D56-486A-94C0-8350320546A2}" name="Volume" dataDxfId="55">
      <calculatedColumnFormula>C114*0.9</calculatedColumnFormula>
    </tableColumn>
    <tableColumn id="3" xr3:uid="{7101B2DC-755F-4827-AF5C-F20A2DB5804D}" name="Open" dataDxfId="54">
      <calculatedColumnFormula>G114</calculatedColumnFormula>
    </tableColumn>
    <tableColumn id="4" xr3:uid="{66F3DA5A-6400-4253-B954-734057A2E229}" name="High" dataDxfId="53">
      <calculatedColumnFormula>G115*1.3</calculatedColumnFormula>
    </tableColumn>
    <tableColumn id="5" xr3:uid="{E4FA7F3C-4620-432A-A44E-C955D429052A}" name="Low" dataDxfId="52">
      <calculatedColumnFormula>D115*0.8</calculatedColumnFormula>
    </tableColumn>
    <tableColumn id="6" xr3:uid="{339937CA-5C8D-4067-A018-9232E294B524}" name="Close" dataDxfId="51">
      <calculatedColumnFormula>D115+3</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B3A25A-18A3-4B79-839A-40E598ABF3A4}" name="Table15" displayName="Table15" ref="B128:E144" totalsRowShown="0">
  <autoFilter ref="B128:E144" xr:uid="{D6B3A25A-18A3-4B79-839A-40E598ABF3A4}"/>
  <tableColumns count="4">
    <tableColumn id="1" xr3:uid="{CFA007F2-8A82-42ED-A759-F7048CBF8116}" name="Branch"/>
    <tableColumn id="2" xr3:uid="{AD73CC48-D244-42AE-9331-7FDBCA9F90FE}" name="Stem"/>
    <tableColumn id="3" xr3:uid="{16B67BE4-88BC-4358-8740-B3DB8EB6E4B2}" name="Leaf"/>
    <tableColumn id="4" xr3:uid="{C5F2B997-FE24-44D0-A32B-A66703254D24}" name="Valu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1D88EB-4CCD-42AD-9C14-4F4474EE963D}" name="r_DateChart" displayName="r_DateChart" ref="B69:E73" totalsRowShown="0">
  <autoFilter ref="B69:E73" xr:uid="{0E1D88EB-4CCD-42AD-9C14-4F4474EE963D}"/>
  <tableColumns count="4">
    <tableColumn id="1" xr3:uid="{C7B81E22-153E-42DE-9271-D4B3EFD31773}" name=" " dataDxfId="50"/>
    <tableColumn id="2" xr3:uid="{80CF6071-3F84-4241-8D14-ED3F1B986FC3}" name="Series A" dataDxfId="49">
      <calculatedColumnFormula>C69*0.7</calculatedColumnFormula>
    </tableColumn>
    <tableColumn id="3" xr3:uid="{A41E6A05-EE3B-4196-9D83-6A01A2A54BC2}" name="Series B" dataDxfId="48">
      <calculatedColumnFormula>C70/2</calculatedColumnFormula>
    </tableColumn>
    <tableColumn id="4" xr3:uid="{61FA6E93-B5FF-49AB-A48A-BA58198196C5}" name="Series C" dataDxfId="47">
      <calculatedColumnFormula>C70*1.5</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99669A8-F264-408D-A200-960B90859041}" name="r_TreeMap" displayName="r_TreeMap" ref="B149:E165" totalsRowShown="0">
  <autoFilter ref="B149:E165" xr:uid="{E99669A8-F264-408D-A200-960B90859041}"/>
  <tableColumns count="4">
    <tableColumn id="1" xr3:uid="{F0D79388-A1F8-48C3-845D-8B9E5A9C0C89}" name="Branch"/>
    <tableColumn id="2" xr3:uid="{089A0CB2-C77A-43AE-8F66-1888B8E240A4}" name="Stem"/>
    <tableColumn id="3" xr3:uid="{6F3765E2-E55A-4FDE-84A3-E2EABA174A95}" name="Leaf"/>
    <tableColumn id="4" xr3:uid="{6C2F9879-3C48-48BB-8F32-D31081687C71}" name="SizeValu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FlexeraSoftware">
    <a:dk1>
      <a:sysClr val="windowText" lastClr="000000"/>
    </a:dk1>
    <a:lt1>
      <a:srgbClr val="FFFFFF"/>
    </a:lt1>
    <a:dk2>
      <a:srgbClr val="0079C1"/>
    </a:dk2>
    <a:lt2>
      <a:srgbClr val="C9EAFF"/>
    </a:lt2>
    <a:accent1>
      <a:srgbClr val="DEB408"/>
    </a:accent1>
    <a:accent2>
      <a:srgbClr val="005295"/>
    </a:accent2>
    <a:accent3>
      <a:srgbClr val="439639"/>
    </a:accent3>
    <a:accent4>
      <a:srgbClr val="791D7E"/>
    </a:accent4>
    <a:accent5>
      <a:srgbClr val="E0C398"/>
    </a:accent5>
    <a:accent6>
      <a:srgbClr val="9EA1A4"/>
    </a:accent6>
    <a:hlink>
      <a:srgbClr val="005295"/>
    </a:hlink>
    <a:folHlink>
      <a:srgbClr val="791D7E"/>
    </a:folHlink>
  </a:clrScheme>
  <a:fontScheme name="Flexera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FlexeraSoftware">
    <a:dk1>
      <a:sysClr val="windowText" lastClr="000000"/>
    </a:dk1>
    <a:lt1>
      <a:srgbClr val="FFFFFF"/>
    </a:lt1>
    <a:dk2>
      <a:srgbClr val="0079C1"/>
    </a:dk2>
    <a:lt2>
      <a:srgbClr val="C9EAFF"/>
    </a:lt2>
    <a:accent1>
      <a:srgbClr val="DEB408"/>
    </a:accent1>
    <a:accent2>
      <a:srgbClr val="005295"/>
    </a:accent2>
    <a:accent3>
      <a:srgbClr val="439639"/>
    </a:accent3>
    <a:accent4>
      <a:srgbClr val="791D7E"/>
    </a:accent4>
    <a:accent5>
      <a:srgbClr val="E0C398"/>
    </a:accent5>
    <a:accent6>
      <a:srgbClr val="9EA1A4"/>
    </a:accent6>
    <a:hlink>
      <a:srgbClr val="005295"/>
    </a:hlink>
    <a:folHlink>
      <a:srgbClr val="791D7E"/>
    </a:folHlink>
  </a:clrScheme>
  <a:fontScheme name="Flexera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 dockstate="right" visibility="1" width="350" row="0">
    <wetp:webextensionref xmlns:r="http://schemas.openxmlformats.org/officeDocument/2006/relationships" r:id="rId2"/>
  </wetp:taskpane>
</wetp:taskpanes>
</file>

<file path=xl/webextensions/webextension1.xml><?xml version="1.0" encoding="utf-8"?>
<we:webextension xmlns:we="http://schemas.microsoft.com/office/webextensions/webextension/2010/11" id="{17E7B0B4-FEBD-44A5-86F5-AF1B1B17A7AF}">
  <we:reference id="78f4d70e-fb8b-4f8d-b284-0a2e60aeef37" version="2.2.1.0" store="\\Andy-Desktop\Users\ahall\OneDrive\Add-Ins\Manifests" storeType="Filesystem"/>
  <we:alternateReferences/>
  <we:properties>
    <we:property name="AnalysisPlace_ItemPrefix" value="&quot;r_&quot;"/>
    <we:property name="ApItemProps" value="{&quot;{9CE38F24-077C-4BAF-A189-90BCA5A2B121}&quot;:{&quot;tlTableType&quot;:&quot;Flex&quot;,&quot;tlNoTop&quot;:&quot;Yes&quot;},&quot;{56F2EC72-7EEA-44C2-A08E-26FB70E5DA14}&quot;:{&quot;tlNoTop&quot;:&quot;Yes&quot;,&quot;tlTableType&quot;:&quot;Dest&quot;},&quot;{161B1ED6-55D9-423B-A3E3-36F23383B29C}&quot;:{&quot;tlTableType&quot;:&quot;Image&quot;,&quot;tlNoTop&quot;:&quot;Yes&quot;},&quot;{5517605E-CB4C-4FDC-9506-60CB580AB59D}&quot;:{&quot;tlValOnly&quot;:&quot;Values Only&quot;},&quot;{CA220E08-86BF-4B3C-8EC7-DC7B21F9D230}&quot;:{&quot;tlValOnly&quot;:&quot;Values Only&quot;},&quot;{4CDB9697-BB5A-4DA7-937B-A165D82F3111}&quot;:{&quot;tlValOnly&quot;:&quot;Values Only&quot;},&quot;{423493AB-5CDA-4EB4-87EC-2C440EFDFD3B}&quot;:{&quot;tlInclHidden&quot;:&quot;No&quot;}}"/>
    <we:property name="AnalysisPlace_e2eOptions" value="{&quot;e2ePrefix&quot;:&quot;in_&quot;,&quot;skipFormulas&quot;:true,&quot;resizeRanges&quot;:false,&quot;resizeTables&quot;:true}"/>
  </we:properties>
  <we:bindings/>
  <we:snapshot xmlns:r="http://schemas.openxmlformats.org/officeDocument/2006/relationships"/>
  <we:extLst>
    <a:ext xmlns:a="http://schemas.openxmlformats.org/drawingml/2006/main" uri="{D87F86FE-615C-45B5-9D79-34F1136793EB}">
      <we:containsCustomFunctions/>
    </a:ext>
  </we:extLst>
</we:webextension>
</file>

<file path=xl/webextensions/webextension2.xml><?xml version="1.0" encoding="utf-8"?>
<we:webextension xmlns:we="http://schemas.microsoft.com/office/webextensions/webextension/2010/11" id="{D406463E-5822-4E94-8871-16CA89D94970}">
  <we:reference id="wa104380955" version="2.2.1.0" store="en-US" storeType="OMEX"/>
  <we:alternateReferences>
    <we:reference id="wa104380955" version="2.2.1.0" store="" storeType="OMEX"/>
  </we:alternateReferences>
  <we:properties>
    <we:property name="AnalysisPlace_ItemPrefix" value="&quot;r_&quot;"/>
    <we:property name="ApItemProps" value="{&quot;{AEA533C8-21E8-4490-82AB-A943FCD12075}&quot;:{&quot;trImgRes&quot;:&quot;Perc&quot;,&quot;tnImgResPerc&quot;:&quot;150&quot;},&quot;{72835846-E905-4913-A107-4597E589F8C3}&quot;:{&quot;trImgRes&quot;:&quot;Perc&quot;,&quot;tnImgResPerc&quot;:&quot;150&quot;},&quot;{161B1ED6-55D9-423B-A3E3-36F23383B29C}&quot;:{&quot;tlTableType&quot;:&quot;Image&quot;},&quot;{9CE38F24-077C-4BAF-A189-90BCA5A2B121}&quot;:{&quot;tlTableType&quot;:&quot;Flex&quot;,&quot;tlNoTop&quot;:&quot;Yes&quot;},&quot;{56F2EC72-7EEA-44C2-A08E-26FB70E5DA14}&quot;:{&quot;tlNoTop&quot;:&quot;Yes&quot;}}"/>
    <we:property name="Office.AutoShowTaskpaneWithDocument" value="true"/>
    <we:property name="documentID" value="&quot;10630193&quot;"/>
    <we:property name="documentVersion" value="&quot;1.000&quot;"/>
    <we:property name="versionPublishDate" value="&quot;2019-3-1&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nalysisplace.com/"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15.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2.xml"/><Relationship Id="rId5" Type="http://schemas.openxmlformats.org/officeDocument/2006/relationships/printerSettings" Target="../printerSettings/printerSettings10.bin"/><Relationship Id="rId4" Type="http://schemas.openxmlformats.org/officeDocument/2006/relationships/hyperlink" Target="https://support.microsoft.com/en-us/office/create-a-pivottable-to-analyze-worksheet-data-a9a84538-bfe9-40a9-a8e9-f99134456576"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s://support.microsoft.com/en-us/office/image-function-7e112975-5e52-4f2a-b9da-1d913d51f5d5?ns=excel&amp;version=90&amp;syslcid=1033&amp;uilcid=1033&amp;appver=zxl900&amp;helpid=xlmain11.chm60712&amp;ui=en-us&amp;rs=en-us&amp;ad=us" TargetMode="Externa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8" Type="http://schemas.openxmlformats.org/officeDocument/2006/relationships/hyperlink" Target="https://upload.wikimedia.org/wikipedia/commons/6/65/01-bonhams-ferrari-monterey-2014-1.jpg" TargetMode="External"/><Relationship Id="rId3" Type="http://schemas.openxmlformats.org/officeDocument/2006/relationships/hyperlink" Target="https://upload.wikimedia.org/wikipedia/commons/thumb/e/e1/Fox_Classic_Car_Collection%2C_2008_%2802%29.JPG/640px-Fox_Classic_Car_Collection%2C_2008_%2802%29.JPG" TargetMode="External"/><Relationship Id="rId7" Type="http://schemas.openxmlformats.org/officeDocument/2006/relationships/hyperlink" Target="https://upload.wikimedia.org/wikipedia/commons/thumb/e/e2/Mazda_Roadster_ND.jpg/640px-Mazda_Roadster_ND.jpg" TargetMode="External"/><Relationship Id="rId2" Type="http://schemas.openxmlformats.org/officeDocument/2006/relationships/hyperlink" Target="https://upload.wikimedia.org/wikipedia/commons/thumb/1/15/Lamborghini_Miura_%28Kirchzarten%29_jm20695.jpg/640px-Lamborghini_Miura_%28Kirchzarten%29_jm20695.jpg" TargetMode="External"/><Relationship Id="rId1" Type="http://schemas.openxmlformats.org/officeDocument/2006/relationships/hyperlink" Target="https://upload.wikimedia.org/wikipedia/commons/thumb/a/a2/Porsche_911_No_1000000%2C_70_Years_Porsche_Sports_Car%2C_Berlin_%281X7A3888%29.jpg/640px-Porsche_911_No_1000000%2C_70_Years_Porsche_Sports_Car%2C_Berlin_%281X7A3888%29.jpg" TargetMode="External"/><Relationship Id="rId6" Type="http://schemas.openxmlformats.org/officeDocument/2006/relationships/hyperlink" Target="https://upload.wikimedia.org/wikipedia/commons/thumb/e/e8/Shelby_AC_427_Cobra_vl_blue.jpg/640px-Shelby_AC_427_Cobra_vl_blue.jpg" TargetMode="External"/><Relationship Id="rId11" Type="http://schemas.openxmlformats.org/officeDocument/2006/relationships/table" Target="../tables/table16.xml"/><Relationship Id="rId5" Type="http://schemas.openxmlformats.org/officeDocument/2006/relationships/hyperlink" Target="https://upload.wikimedia.org/wikipedia/commons/thumb/d/d7/Porsche_Carrera_GT_%2816924008835%29_%28cropped%29.jpg/640px-Porsche_Carrera_GT_%2816924008835%29_%28cropped%29.jpg" TargetMode="External"/><Relationship Id="rId10" Type="http://schemas.openxmlformats.org/officeDocument/2006/relationships/printerSettings" Target="../printerSettings/printerSettings12.bin"/><Relationship Id="rId4" Type="http://schemas.openxmlformats.org/officeDocument/2006/relationships/hyperlink" Target="https://upload.wikimedia.org/wikipedia/commons/thumb/c/ce/Porsche_356_C_-_Flickr_-_Alexandre_Pr&#233;vot_%282%29_%28cropped%29.jpg/640px-Porsche_356_C_-_Flickr_-_Alexandre_Pr&#233;vot_%282%29_%28cropped%29.jpg" TargetMode="External"/><Relationship Id="rId9" Type="http://schemas.openxmlformats.org/officeDocument/2006/relationships/hyperlink" Target="https://upload.wikimedia.org/wikipedia/commons/thumb/6/6d/Jaguar_E-Type_Series_1_3.8_Litre_1961.jpg/600px-Jaguar_E-Type_Series_1_3.8_Litre_1961.jpg"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9.xml"/><Relationship Id="rId1" Type="http://schemas.openxmlformats.org/officeDocument/2006/relationships/printerSettings" Target="../printerSettings/printerSettings14.bin"/><Relationship Id="rId4" Type="http://schemas.openxmlformats.org/officeDocument/2006/relationships/table" Target="../tables/table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5.bin"/><Relationship Id="rId1" Type="http://schemas.openxmlformats.org/officeDocument/2006/relationships/hyperlink" Target="https://www.x-rates.com/table/?from=USD&amp;amount=1" TargetMode="External"/><Relationship Id="rId5" Type="http://schemas.openxmlformats.org/officeDocument/2006/relationships/table" Target="../tables/table23.xml"/><Relationship Id="rId4" Type="http://schemas.openxmlformats.org/officeDocument/2006/relationships/table" Target="../tables/table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hyperlink" Target="https://support.office.com/en-us/article/overview-of-connecting-to-importing-data-c0ad7aec-ff1a-4e48-9c21-dc18a102433f" TargetMode="External"/><Relationship Id="rId2" Type="http://schemas.openxmlformats.org/officeDocument/2006/relationships/hyperlink" Target="https://support.office.com/en-us/article/get-transform-in-excel-881c63c6-37c5-4ca2-b616-59e18d75b4de" TargetMode="External"/><Relationship Id="rId1" Type="http://schemas.openxmlformats.org/officeDocument/2006/relationships/hyperlink" Target="https://support.office.com/en-us/article/import-data-from-external-data-sources-power-query-be4330b3-5356-486c-a168-b68e9e616f5a" TargetMode="External"/><Relationship Id="rId5" Type="http://schemas.openxmlformats.org/officeDocument/2006/relationships/drawing" Target="../drawings/drawing23.xml"/><Relationship Id="rId4"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support.office.com/en-us/article/overview-of-excel-tables-7ab0bb7d-3a9e-4b56-a3c9-6c94334e492c?ui=en-US&amp;rs=en-US&amp;ad=US" TargetMode="Externa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analysisplace.com/Portals/0/Logo.png"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9.xml"/><Relationship Id="rId13" Type="http://schemas.openxmlformats.org/officeDocument/2006/relationships/table" Target="../tables/table7.xml"/><Relationship Id="rId18" Type="http://schemas.openxmlformats.org/officeDocument/2006/relationships/table" Target="../tables/table12.xml"/><Relationship Id="rId3" Type="http://schemas.openxmlformats.org/officeDocument/2006/relationships/hyperlink" Target="https://support.microsoft.com/en-us/office/create-a-box-and-whisker-chart-62f4219f-db4b-4754-aca8-4743f6190f0d" TargetMode="External"/><Relationship Id="rId7" Type="http://schemas.openxmlformats.org/officeDocument/2006/relationships/printerSettings" Target="../printerSettings/printerSettings8.bin"/><Relationship Id="rId12" Type="http://schemas.openxmlformats.org/officeDocument/2006/relationships/table" Target="../tables/table6.xml"/><Relationship Id="rId17" Type="http://schemas.openxmlformats.org/officeDocument/2006/relationships/table" Target="../tables/table11.xml"/><Relationship Id="rId2" Type="http://schemas.openxmlformats.org/officeDocument/2006/relationships/hyperlink" Target="https://support.microsoft.com/en-us/office/create-a-treemap-chart-in-office-dfe86d28-a610-4ef5-9b30-362d5c624b68" TargetMode="External"/><Relationship Id="rId16" Type="http://schemas.openxmlformats.org/officeDocument/2006/relationships/table" Target="../tables/table10.xml"/><Relationship Id="rId20" Type="http://schemas.openxmlformats.org/officeDocument/2006/relationships/table" Target="../tables/table14.xml"/><Relationship Id="rId1" Type="http://schemas.openxmlformats.org/officeDocument/2006/relationships/hyperlink" Target="https://support.microsoft.com/en-us/office/create-a-sunburst-chart-in-office-4a127977-62cd-4c11-b8c7-65b84a358e0c" TargetMode="External"/><Relationship Id="rId6" Type="http://schemas.openxmlformats.org/officeDocument/2006/relationships/hyperlink" Target="https://support.microsoft.com/en-us/office/create-a-funnel-chart-ba21bcba-f325-4d9f-93df-97074589a70e" TargetMode="External"/><Relationship Id="rId11" Type="http://schemas.openxmlformats.org/officeDocument/2006/relationships/table" Target="../tables/table5.xml"/><Relationship Id="rId5" Type="http://schemas.openxmlformats.org/officeDocument/2006/relationships/hyperlink" Target="https://support.microsoft.com/en-us/office/create-a-waterfall-chart-8de1ece4-ff21-4d37-acd7-546f5527f185" TargetMode="External"/><Relationship Id="rId15" Type="http://schemas.openxmlformats.org/officeDocument/2006/relationships/table" Target="../tables/table9.xml"/><Relationship Id="rId10" Type="http://schemas.openxmlformats.org/officeDocument/2006/relationships/table" Target="../tables/table4.xml"/><Relationship Id="rId19" Type="http://schemas.openxmlformats.org/officeDocument/2006/relationships/table" Target="../tables/table13.xml"/><Relationship Id="rId4" Type="http://schemas.openxmlformats.org/officeDocument/2006/relationships/hyperlink" Target="https://support.microsoft.com/en-us/office/create-a-map-chart-in-excel-f2cfed55-d622-42cd-8ec9-ec8a358b593b" TargetMode="External"/><Relationship Id="rId9" Type="http://schemas.openxmlformats.org/officeDocument/2006/relationships/table" Target="../tables/table3.xml"/><Relationship Id="rId1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CEAD-C55B-4379-844E-EEC3EE80860D}">
  <dimension ref="A1:L102"/>
  <sheetViews>
    <sheetView showGridLines="0" tabSelected="1" workbookViewId="0"/>
  </sheetViews>
  <sheetFormatPr defaultRowHeight="15.75" x14ac:dyDescent="0.25"/>
  <cols>
    <col min="1" max="2" width="2.5" customWidth="1"/>
    <col min="3" max="3" width="30" customWidth="1"/>
    <col min="4" max="6" width="16.625" customWidth="1"/>
    <col min="7" max="10" width="8.375" customWidth="1"/>
  </cols>
  <sheetData>
    <row r="1" spans="1:10" ht="31.5" x14ac:dyDescent="0.5">
      <c r="A1" s="130" t="s">
        <v>0</v>
      </c>
      <c r="B1" s="132"/>
      <c r="C1" s="234"/>
      <c r="D1" s="234"/>
      <c r="E1" s="234"/>
      <c r="F1" s="234"/>
      <c r="G1" s="132" t="s">
        <v>1</v>
      </c>
      <c r="H1" s="234"/>
      <c r="J1" s="234"/>
    </row>
    <row r="2" spans="1:10" ht="26.25" customHeight="1" x14ac:dyDescent="0.3">
      <c r="A2" s="132"/>
      <c r="B2" s="132"/>
      <c r="C2" s="312" t="s">
        <v>2</v>
      </c>
      <c r="D2" s="312"/>
      <c r="E2" s="312"/>
      <c r="F2" s="312"/>
      <c r="G2" s="235"/>
      <c r="H2" s="235"/>
      <c r="I2" s="235"/>
      <c r="J2" s="235"/>
    </row>
    <row r="3" spans="1:10" ht="30.75" customHeight="1" x14ac:dyDescent="0.3">
      <c r="A3" s="132"/>
      <c r="B3" s="132"/>
      <c r="C3" s="312" t="s">
        <v>3</v>
      </c>
      <c r="D3" s="312"/>
      <c r="E3" s="312"/>
      <c r="F3" s="312"/>
      <c r="G3" s="312"/>
      <c r="H3" s="312"/>
      <c r="I3" s="312"/>
      <c r="J3" s="312"/>
    </row>
    <row r="4" spans="1:10" ht="20.25" x14ac:dyDescent="0.3">
      <c r="A4" s="119" t="s">
        <v>4</v>
      </c>
      <c r="C4" s="234"/>
      <c r="D4" s="234"/>
      <c r="E4" s="234"/>
      <c r="F4" s="234"/>
      <c r="G4" s="234"/>
      <c r="H4" s="234"/>
      <c r="I4" s="234"/>
      <c r="J4" s="234"/>
    </row>
    <row r="5" spans="1:10" ht="30.75" customHeight="1" x14ac:dyDescent="0.25">
      <c r="A5" s="234"/>
      <c r="B5" s="234"/>
      <c r="C5" s="312" t="s">
        <v>5</v>
      </c>
      <c r="D5" s="312"/>
      <c r="E5" s="312"/>
      <c r="F5" s="312"/>
      <c r="G5" s="312"/>
      <c r="H5" s="312"/>
      <c r="I5" s="312"/>
      <c r="J5" s="312"/>
    </row>
    <row r="6" spans="1:10" ht="30" customHeight="1" x14ac:dyDescent="0.25">
      <c r="A6" s="234"/>
      <c r="B6" s="234"/>
      <c r="C6" s="312" t="s">
        <v>6</v>
      </c>
      <c r="D6" s="312"/>
      <c r="E6" s="312"/>
      <c r="F6" s="312"/>
      <c r="G6" s="312"/>
      <c r="H6" s="312"/>
      <c r="I6" s="312"/>
      <c r="J6" s="312"/>
    </row>
    <row r="7" spans="1:10" ht="9.75" customHeight="1" x14ac:dyDescent="0.25">
      <c r="A7" s="234"/>
      <c r="B7" s="234"/>
      <c r="C7" s="219"/>
      <c r="D7" s="234"/>
      <c r="E7" s="234"/>
      <c r="F7" s="234"/>
      <c r="G7" s="234"/>
      <c r="H7" s="234"/>
      <c r="I7" s="234"/>
      <c r="J7" s="234"/>
    </row>
    <row r="8" spans="1:10" ht="20.25" x14ac:dyDescent="0.3">
      <c r="A8" s="119" t="s">
        <v>7</v>
      </c>
      <c r="C8" s="234"/>
      <c r="D8" s="234"/>
      <c r="E8" s="234"/>
      <c r="F8" s="234"/>
      <c r="G8" s="234"/>
      <c r="H8" s="234"/>
      <c r="I8" s="234"/>
      <c r="J8" s="234"/>
    </row>
    <row r="9" spans="1:10" x14ac:dyDescent="0.25">
      <c r="A9" s="234"/>
      <c r="B9" s="231" t="s">
        <v>8</v>
      </c>
      <c r="C9" s="225"/>
      <c r="D9" s="234"/>
      <c r="E9" s="234"/>
      <c r="F9" s="234"/>
      <c r="G9" s="234"/>
      <c r="H9" s="234"/>
      <c r="I9" s="234"/>
      <c r="J9" s="234"/>
    </row>
    <row r="10" spans="1:10" ht="15.75" customHeight="1" x14ac:dyDescent="0.25">
      <c r="A10" s="234"/>
      <c r="B10" s="225"/>
      <c r="C10" s="316" t="s">
        <v>1169</v>
      </c>
      <c r="D10" s="316"/>
      <c r="E10" s="316"/>
      <c r="F10" s="232" t="s">
        <v>1343</v>
      </c>
      <c r="G10" s="226"/>
      <c r="H10" s="226"/>
      <c r="I10" s="226"/>
      <c r="J10" s="226"/>
    </row>
    <row r="11" spans="1:10" ht="15.75" customHeight="1" x14ac:dyDescent="0.25">
      <c r="A11" s="234"/>
      <c r="B11" s="225"/>
      <c r="C11" s="259" t="s">
        <v>1170</v>
      </c>
      <c r="D11" s="229"/>
      <c r="E11" s="229"/>
      <c r="F11" s="232"/>
      <c r="G11" s="226"/>
      <c r="H11" s="226"/>
      <c r="I11" s="226"/>
      <c r="J11" s="226"/>
    </row>
    <row r="12" spans="1:10" ht="15.75" customHeight="1" x14ac:dyDescent="0.25">
      <c r="A12" s="234"/>
      <c r="B12" s="225"/>
      <c r="C12" s="229" t="s">
        <v>9</v>
      </c>
      <c r="D12" s="229"/>
      <c r="E12" s="227"/>
      <c r="F12" s="226"/>
      <c r="G12" s="226"/>
      <c r="H12" s="226"/>
      <c r="I12" s="226"/>
      <c r="J12" s="226"/>
    </row>
    <row r="13" spans="1:10" x14ac:dyDescent="0.25">
      <c r="A13" s="234"/>
      <c r="B13" s="230"/>
      <c r="C13" s="310" t="s">
        <v>1168</v>
      </c>
      <c r="D13" s="313"/>
      <c r="E13" s="313"/>
      <c r="F13" s="313"/>
      <c r="G13" s="313"/>
      <c r="H13" s="313"/>
      <c r="I13" s="313"/>
      <c r="J13" s="313"/>
    </row>
    <row r="14" spans="1:10" x14ac:dyDescent="0.25">
      <c r="A14" s="234"/>
      <c r="B14" s="225"/>
      <c r="C14" s="310" t="s">
        <v>10</v>
      </c>
      <c r="D14" s="313"/>
      <c r="E14" s="313"/>
      <c r="F14" s="313"/>
      <c r="G14" s="313"/>
      <c r="H14" s="313"/>
      <c r="I14" s="313"/>
      <c r="J14" s="313"/>
    </row>
    <row r="15" spans="1:10" x14ac:dyDescent="0.25">
      <c r="A15" s="234"/>
      <c r="B15" s="314" t="s">
        <v>11</v>
      </c>
      <c r="C15" s="315"/>
      <c r="D15" s="315"/>
      <c r="E15" s="315"/>
      <c r="F15" s="315"/>
      <c r="G15" s="315"/>
      <c r="H15" s="315"/>
      <c r="I15" s="315"/>
      <c r="J15" s="225"/>
    </row>
    <row r="16" spans="1:10" x14ac:dyDescent="0.25">
      <c r="A16" s="234"/>
      <c r="B16" s="234"/>
      <c r="C16" s="310" t="s">
        <v>1171</v>
      </c>
      <c r="D16" s="313"/>
      <c r="E16" s="313"/>
      <c r="F16" s="313"/>
      <c r="G16" s="313"/>
      <c r="H16" s="313"/>
      <c r="I16" s="313"/>
      <c r="J16" s="313"/>
    </row>
    <row r="17" spans="1:10" x14ac:dyDescent="0.25">
      <c r="A17" s="234"/>
      <c r="B17" s="234"/>
      <c r="C17" s="310" t="s">
        <v>12</v>
      </c>
      <c r="D17" s="313"/>
      <c r="E17" s="313"/>
      <c r="F17" s="313"/>
      <c r="G17" s="313"/>
      <c r="H17" s="313"/>
      <c r="I17" s="313"/>
      <c r="J17" s="313"/>
    </row>
    <row r="18" spans="1:10" x14ac:dyDescent="0.25">
      <c r="A18" s="234"/>
      <c r="B18" s="234"/>
      <c r="C18" s="310" t="s">
        <v>13</v>
      </c>
      <c r="D18" s="313"/>
      <c r="E18" s="313"/>
      <c r="F18" s="313"/>
      <c r="G18" s="313"/>
      <c r="H18" s="313"/>
      <c r="I18" s="313"/>
      <c r="J18" s="313"/>
    </row>
    <row r="19" spans="1:10" ht="8.25" customHeight="1" x14ac:dyDescent="0.25">
      <c r="A19" s="234"/>
      <c r="B19" s="225"/>
      <c r="C19" s="219"/>
      <c r="D19" s="234"/>
      <c r="E19" s="234"/>
      <c r="F19" s="234"/>
      <c r="G19" s="234"/>
      <c r="H19" s="234"/>
      <c r="I19" s="234"/>
      <c r="J19" s="234"/>
    </row>
    <row r="20" spans="1:10" x14ac:dyDescent="0.25">
      <c r="A20" s="234"/>
      <c r="B20" s="225" t="s">
        <v>14</v>
      </c>
      <c r="C20" s="219"/>
      <c r="D20" s="234"/>
      <c r="E20" s="234"/>
      <c r="F20" s="234"/>
      <c r="G20" s="234"/>
      <c r="H20" s="234"/>
      <c r="I20" s="234"/>
      <c r="J20" s="234"/>
    </row>
    <row r="21" spans="1:10" x14ac:dyDescent="0.25">
      <c r="A21" s="234"/>
      <c r="B21" s="225"/>
      <c r="C21" s="310" t="s">
        <v>15</v>
      </c>
      <c r="D21" s="313"/>
      <c r="E21" s="313"/>
      <c r="F21" s="313"/>
      <c r="G21" s="313"/>
      <c r="H21" s="313"/>
      <c r="I21" s="313"/>
      <c r="J21" s="313"/>
    </row>
    <row r="22" spans="1:10" ht="30" customHeight="1" x14ac:dyDescent="0.25">
      <c r="A22" s="234"/>
      <c r="B22" s="234"/>
      <c r="C22" s="310" t="s">
        <v>16</v>
      </c>
      <c r="D22" s="313"/>
      <c r="E22" s="313"/>
      <c r="F22" s="313"/>
      <c r="G22" s="313"/>
      <c r="H22" s="313"/>
      <c r="I22" s="313"/>
      <c r="J22" s="313"/>
    </row>
    <row r="23" spans="1:10" x14ac:dyDescent="0.25">
      <c r="A23" s="234"/>
      <c r="B23" s="234"/>
      <c r="C23" s="310" t="s">
        <v>17</v>
      </c>
      <c r="D23" s="313"/>
      <c r="E23" s="313"/>
      <c r="F23" s="313"/>
      <c r="G23" s="313"/>
      <c r="H23" s="313"/>
      <c r="I23" s="313"/>
      <c r="J23" s="313"/>
    </row>
    <row r="24" spans="1:10" x14ac:dyDescent="0.25">
      <c r="A24" s="234"/>
      <c r="B24" s="234"/>
      <c r="C24" s="219"/>
      <c r="D24" s="234"/>
      <c r="E24" s="234"/>
      <c r="F24" s="234"/>
      <c r="G24" s="234"/>
      <c r="H24" s="234"/>
      <c r="I24" s="234"/>
      <c r="J24" s="234"/>
    </row>
    <row r="25" spans="1:10" ht="31.5" x14ac:dyDescent="0.5">
      <c r="A25" s="233" t="s">
        <v>18</v>
      </c>
      <c r="B25" s="234"/>
      <c r="C25" s="219"/>
      <c r="D25" s="234"/>
      <c r="E25" s="234"/>
      <c r="F25" s="234"/>
      <c r="G25" s="234"/>
      <c r="H25" s="234"/>
      <c r="I25" s="234"/>
      <c r="J25" s="234"/>
    </row>
    <row r="26" spans="1:10" ht="21" thickBot="1" x14ac:dyDescent="0.35">
      <c r="B26" s="119"/>
      <c r="C26" s="234" t="s">
        <v>1182</v>
      </c>
      <c r="D26" s="234"/>
      <c r="E26" s="234"/>
      <c r="F26" s="234"/>
      <c r="G26" s="234"/>
      <c r="H26" s="234"/>
      <c r="I26" s="234"/>
      <c r="J26" s="234"/>
    </row>
    <row r="27" spans="1:10" ht="16.5" thickBot="1" x14ac:dyDescent="0.3">
      <c r="A27" s="234"/>
      <c r="B27" s="234"/>
      <c r="C27" s="234" t="s">
        <v>19</v>
      </c>
      <c r="D27" s="236">
        <v>100</v>
      </c>
      <c r="E27" s="234"/>
      <c r="F27" s="234"/>
      <c r="G27" s="234"/>
      <c r="H27" s="234"/>
      <c r="I27" s="234"/>
      <c r="J27" s="234"/>
    </row>
    <row r="28" spans="1:10" ht="5.0999999999999996" customHeight="1" x14ac:dyDescent="0.25">
      <c r="A28" s="234"/>
      <c r="B28" s="234"/>
      <c r="C28" s="234"/>
      <c r="D28" s="234"/>
      <c r="E28" s="234"/>
      <c r="F28" s="234"/>
      <c r="G28" s="234"/>
      <c r="H28" s="234"/>
      <c r="I28" s="234"/>
      <c r="J28" s="234"/>
    </row>
    <row r="29" spans="1:10" ht="20.25" x14ac:dyDescent="0.3">
      <c r="A29" s="119" t="s">
        <v>20</v>
      </c>
      <c r="B29" s="119"/>
      <c r="C29" s="234"/>
      <c r="D29" s="234"/>
      <c r="E29" s="234"/>
      <c r="F29" s="234"/>
      <c r="G29" s="234"/>
      <c r="H29" s="234"/>
      <c r="I29" s="234"/>
      <c r="J29" s="234"/>
    </row>
    <row r="30" spans="1:10" ht="35.1" customHeight="1" thickBot="1" x14ac:dyDescent="0.3">
      <c r="A30" s="234"/>
      <c r="B30" s="234"/>
      <c r="C30" s="310" t="s">
        <v>25</v>
      </c>
      <c r="D30" s="313"/>
      <c r="E30" s="313"/>
      <c r="F30" s="313"/>
      <c r="G30" s="313"/>
      <c r="H30" s="313"/>
      <c r="I30" s="313"/>
      <c r="J30" s="313"/>
    </row>
    <row r="31" spans="1:10" ht="16.5" thickBot="1" x14ac:dyDescent="0.3">
      <c r="A31" s="234"/>
      <c r="B31" s="234"/>
      <c r="C31" s="234" t="s">
        <v>21</v>
      </c>
      <c r="D31" s="317" t="s">
        <v>22</v>
      </c>
      <c r="E31" s="317"/>
      <c r="F31" s="127" t="s">
        <v>23</v>
      </c>
      <c r="G31" s="234"/>
      <c r="H31" s="234"/>
      <c r="I31" s="234"/>
      <c r="J31" s="234"/>
    </row>
    <row r="32" spans="1:10" ht="5.0999999999999996" customHeight="1" x14ac:dyDescent="0.25">
      <c r="A32" s="234"/>
      <c r="B32" s="234"/>
      <c r="C32" s="234"/>
      <c r="D32" s="234"/>
      <c r="E32" s="234"/>
      <c r="F32" s="234"/>
      <c r="G32" s="234"/>
      <c r="H32" s="234"/>
      <c r="I32" s="234"/>
      <c r="J32" s="234"/>
    </row>
    <row r="33" spans="1:12" x14ac:dyDescent="0.25">
      <c r="A33" s="234"/>
      <c r="B33" s="234"/>
      <c r="C33" s="129" t="str">
        <f>r_CustomerName&amp;" can realize " &amp; TEXT(rBenTotal,"$#,##0") &amp; " in benefits with an investment of only " &amp; TEXT(rCostsTotal,"$#,##0") &amp; " -- that is an ROI of " &amp;TEXT(rROI,"0%") &amp;"."</f>
        <v>MyCustomer can realize $125,594 in benefits with an investment of only $25,324 -- that is an ROI of 396%.</v>
      </c>
      <c r="D33" s="234"/>
      <c r="E33" s="234"/>
      <c r="F33" s="234"/>
      <c r="G33" s="234"/>
      <c r="H33" s="234"/>
      <c r="I33" s="234"/>
      <c r="J33" s="234"/>
    </row>
    <row r="34" spans="1:12" x14ac:dyDescent="0.25">
      <c r="A34" s="234"/>
      <c r="B34" s="234"/>
      <c r="C34" s="127" t="s">
        <v>24</v>
      </c>
      <c r="D34" s="234"/>
      <c r="E34" s="234"/>
      <c r="F34" s="234"/>
      <c r="G34" s="234"/>
      <c r="H34" s="234"/>
      <c r="I34" s="234"/>
      <c r="J34" s="234"/>
    </row>
    <row r="35" spans="1:12" ht="20.25" x14ac:dyDescent="0.3">
      <c r="A35" s="119" t="s">
        <v>26</v>
      </c>
      <c r="B35" s="119"/>
      <c r="C35" s="140"/>
      <c r="D35" s="140"/>
      <c r="E35" s="140"/>
      <c r="F35" s="140"/>
      <c r="G35" s="140"/>
      <c r="H35" s="140"/>
      <c r="I35" s="140"/>
      <c r="J35" s="140"/>
    </row>
    <row r="36" spans="1:12" ht="31.5" customHeight="1" x14ac:dyDescent="0.3">
      <c r="A36" s="119"/>
      <c r="B36" s="119"/>
      <c r="C36" s="310" t="s">
        <v>1173</v>
      </c>
      <c r="D36" s="313"/>
      <c r="E36" s="313"/>
      <c r="F36" s="313"/>
      <c r="G36" s="313"/>
      <c r="H36" s="313"/>
      <c r="I36" s="313"/>
      <c r="J36" s="313"/>
    </row>
    <row r="37" spans="1:12" ht="17.25" x14ac:dyDescent="0.3">
      <c r="B37" s="132" t="s">
        <v>27</v>
      </c>
      <c r="C37" s="234"/>
      <c r="D37" s="234"/>
      <c r="E37" s="234"/>
      <c r="F37" s="234"/>
      <c r="G37" s="234"/>
      <c r="H37" s="131"/>
      <c r="I37" s="131"/>
      <c r="J37" s="131"/>
    </row>
    <row r="38" spans="1:12" ht="18" thickBot="1" x14ac:dyDescent="0.35">
      <c r="B38" s="132"/>
      <c r="C38" s="310" t="s">
        <v>1174</v>
      </c>
      <c r="D38" s="313"/>
      <c r="E38" s="313"/>
      <c r="F38" s="313"/>
      <c r="G38" s="313"/>
      <c r="H38" s="313"/>
      <c r="I38" s="313"/>
      <c r="J38" s="313"/>
    </row>
    <row r="39" spans="1:12" ht="16.5" thickBot="1" x14ac:dyDescent="0.3">
      <c r="A39" s="234"/>
      <c r="B39" s="234"/>
      <c r="C39" s="234"/>
      <c r="D39" s="123" t="s">
        <v>28</v>
      </c>
      <c r="E39" s="124" t="s">
        <v>29</v>
      </c>
      <c r="F39" s="125" t="s">
        <v>30</v>
      </c>
      <c r="G39" s="234"/>
      <c r="H39" s="131"/>
      <c r="K39" s="263" t="s">
        <v>1172</v>
      </c>
      <c r="L39" s="264">
        <v>5</v>
      </c>
    </row>
    <row r="40" spans="1:12" x14ac:dyDescent="0.25">
      <c r="A40" s="234"/>
      <c r="B40" s="234"/>
      <c r="C40" s="237" t="s">
        <v>31</v>
      </c>
      <c r="D40" s="238">
        <f>Users^0.99*100</f>
        <v>9549.9258602143655</v>
      </c>
      <c r="E40" s="238">
        <f>Users^0.9*50</f>
        <v>3154.7867224009683</v>
      </c>
      <c r="F40" s="239">
        <f>rCostsOT+rCostsAnn*Years</f>
        <v>25323.859472219207</v>
      </c>
      <c r="G40" s="234"/>
      <c r="H40" s="131"/>
      <c r="I40" s="131"/>
      <c r="J40" s="131"/>
    </row>
    <row r="41" spans="1:12" x14ac:dyDescent="0.25">
      <c r="A41" s="234"/>
      <c r="B41" s="234"/>
      <c r="C41" s="240" t="s">
        <v>32</v>
      </c>
      <c r="D41" s="241">
        <v>0</v>
      </c>
      <c r="E41" s="241">
        <f>Users*100^1.2</f>
        <v>25118.864315095805</v>
      </c>
      <c r="F41" s="239">
        <f>rBenOT+rBenAnn*Years</f>
        <v>125594.32157547903</v>
      </c>
      <c r="G41" s="234"/>
      <c r="H41" s="131"/>
      <c r="I41" s="131"/>
      <c r="J41" s="131"/>
    </row>
    <row r="42" spans="1:12" x14ac:dyDescent="0.25">
      <c r="A42" s="234"/>
      <c r="B42" s="234"/>
      <c r="C42" s="120" t="s">
        <v>33</v>
      </c>
      <c r="D42" s="128"/>
      <c r="E42" s="128"/>
      <c r="F42" s="121">
        <f>rBenTotal-rCostsTotal</f>
        <v>100270.46210325982</v>
      </c>
      <c r="G42" s="234"/>
      <c r="H42" s="131"/>
      <c r="I42" s="131"/>
      <c r="J42" s="131"/>
    </row>
    <row r="43" spans="1:12" x14ac:dyDescent="0.25">
      <c r="A43" s="234"/>
      <c r="B43" s="234"/>
      <c r="C43" s="127" t="s">
        <v>34</v>
      </c>
      <c r="D43" s="234"/>
      <c r="E43" s="234"/>
      <c r="F43" s="234"/>
      <c r="G43" s="234"/>
      <c r="H43" s="131"/>
      <c r="I43" s="131"/>
      <c r="J43" s="131"/>
    </row>
    <row r="44" spans="1:12" x14ac:dyDescent="0.25">
      <c r="A44" s="234"/>
      <c r="B44" s="234"/>
      <c r="C44" s="234"/>
      <c r="D44" s="234"/>
      <c r="E44" s="234"/>
      <c r="F44" s="234"/>
      <c r="G44" s="234"/>
      <c r="H44" s="131"/>
      <c r="I44" s="131"/>
      <c r="J44" s="131"/>
    </row>
    <row r="45" spans="1:12" x14ac:dyDescent="0.25">
      <c r="A45" s="234"/>
      <c r="B45" s="234"/>
      <c r="C45" s="126" t="s">
        <v>35</v>
      </c>
      <c r="D45" s="234"/>
      <c r="E45" s="234"/>
      <c r="F45" s="122">
        <f>rNetBen/rCostsTotal</f>
        <v>3.9595252932618181</v>
      </c>
      <c r="G45" s="234"/>
      <c r="H45" s="131"/>
      <c r="I45" s="131"/>
      <c r="J45" s="131"/>
    </row>
    <row r="46" spans="1:12" x14ac:dyDescent="0.25">
      <c r="A46" s="234"/>
      <c r="B46" s="234"/>
      <c r="C46" s="234"/>
      <c r="D46" s="234"/>
      <c r="E46" s="234"/>
      <c r="F46" s="234"/>
      <c r="G46" s="234"/>
      <c r="H46" s="131"/>
      <c r="I46" s="131"/>
      <c r="J46" s="131"/>
    </row>
    <row r="47" spans="1:12" ht="17.25" x14ac:dyDescent="0.3">
      <c r="B47" s="132" t="s">
        <v>36</v>
      </c>
      <c r="C47" s="234"/>
      <c r="D47" s="234"/>
      <c r="E47" s="234"/>
      <c r="F47" s="234"/>
      <c r="G47" s="234"/>
      <c r="H47" s="131"/>
      <c r="I47" s="131"/>
      <c r="J47" s="131"/>
    </row>
    <row r="48" spans="1:12" ht="31.5" customHeight="1" x14ac:dyDescent="0.25">
      <c r="A48" s="234"/>
      <c r="B48" s="234"/>
      <c r="C48" s="310" t="s">
        <v>37</v>
      </c>
      <c r="D48" s="313"/>
      <c r="E48" s="313"/>
      <c r="F48" s="313"/>
      <c r="G48" s="313"/>
      <c r="H48" s="313"/>
      <c r="I48" s="313"/>
      <c r="J48" s="313"/>
    </row>
    <row r="49" spans="1:10" ht="30" customHeight="1" x14ac:dyDescent="0.25">
      <c r="A49" s="234"/>
      <c r="B49" s="234"/>
      <c r="C49" s="310" t="s">
        <v>38</v>
      </c>
      <c r="D49" s="313"/>
      <c r="E49" s="313"/>
      <c r="F49" s="313"/>
      <c r="G49" s="313"/>
      <c r="H49" s="313"/>
      <c r="I49" s="313"/>
      <c r="J49" s="313"/>
    </row>
    <row r="50" spans="1:10" x14ac:dyDescent="0.25">
      <c r="A50" s="234"/>
      <c r="B50" s="234"/>
      <c r="C50" s="234"/>
      <c r="D50" s="234"/>
      <c r="E50" s="234"/>
      <c r="F50" s="234"/>
      <c r="G50" s="234"/>
      <c r="H50" s="131"/>
      <c r="I50" s="131"/>
      <c r="J50" s="131"/>
    </row>
    <row r="51" spans="1:10" x14ac:dyDescent="0.25">
      <c r="A51" s="234"/>
      <c r="B51" s="234"/>
      <c r="C51" s="278"/>
      <c r="D51" s="318" t="s">
        <v>39</v>
      </c>
      <c r="E51" s="318"/>
      <c r="F51" s="318"/>
      <c r="G51" s="234"/>
      <c r="H51" s="131"/>
      <c r="I51" s="131"/>
      <c r="J51" s="131"/>
    </row>
    <row r="52" spans="1:10" x14ac:dyDescent="0.25">
      <c r="A52" s="234"/>
      <c r="B52" s="234"/>
      <c r="C52" s="278"/>
      <c r="D52" s="276">
        <v>2022</v>
      </c>
      <c r="E52" s="276">
        <v>2021</v>
      </c>
      <c r="F52" s="277" t="s">
        <v>40</v>
      </c>
      <c r="G52" s="234"/>
      <c r="H52" s="131"/>
      <c r="I52" s="131"/>
      <c r="J52" s="131"/>
    </row>
    <row r="53" spans="1:10" x14ac:dyDescent="0.25">
      <c r="A53" s="234"/>
      <c r="B53" s="234"/>
      <c r="C53" s="265" t="s">
        <v>41</v>
      </c>
      <c r="D53" s="274">
        <f>Flex!D14</f>
        <v>10000</v>
      </c>
      <c r="E53" s="274">
        <f>Flex!E14</f>
        <v>9500</v>
      </c>
      <c r="F53" s="275">
        <f>(D53-E53)/E53</f>
        <v>5.2631578947368418E-2</v>
      </c>
      <c r="G53" s="234"/>
      <c r="H53" s="131"/>
      <c r="I53" s="131"/>
      <c r="J53" s="131"/>
    </row>
    <row r="54" spans="1:10" x14ac:dyDescent="0.25">
      <c r="A54" s="234"/>
      <c r="B54" s="234"/>
      <c r="C54" s="266" t="s">
        <v>42</v>
      </c>
      <c r="D54" s="267">
        <f>Flex!D15+Flex!D16</f>
        <v>512.82051282051282</v>
      </c>
      <c r="E54" s="267">
        <f>Flex!E15+Flex!E16</f>
        <v>487.17948717948718</v>
      </c>
      <c r="F54" s="268">
        <f t="shared" ref="F54:F60" si="0">(D54-E54)/E54</f>
        <v>5.2631578947368411E-2</v>
      </c>
      <c r="G54" s="234"/>
      <c r="H54" s="131"/>
      <c r="I54" s="131"/>
      <c r="J54" s="131"/>
    </row>
    <row r="55" spans="1:10" ht="16.5" thickBot="1" x14ac:dyDescent="0.3">
      <c r="A55" s="234"/>
      <c r="B55" s="234"/>
      <c r="C55" s="269" t="s">
        <v>43</v>
      </c>
      <c r="D55" s="270">
        <f>D53-D54</f>
        <v>9487.1794871794864</v>
      </c>
      <c r="E55" s="270">
        <f>E53-E54</f>
        <v>9012.8205128205136</v>
      </c>
      <c r="F55" s="223">
        <f t="shared" si="0"/>
        <v>5.2631578947368238E-2</v>
      </c>
      <c r="G55" s="234"/>
      <c r="H55" s="131"/>
      <c r="I55" s="131"/>
      <c r="J55" s="131"/>
    </row>
    <row r="56" spans="1:10" ht="16.5" thickTop="1" x14ac:dyDescent="0.25">
      <c r="A56" s="234"/>
      <c r="B56" s="234"/>
      <c r="C56" s="266" t="s">
        <v>44</v>
      </c>
      <c r="D56" s="271">
        <f>Flex!D23</f>
        <v>2435.897435897436</v>
      </c>
      <c r="E56" s="271">
        <f>Flex!E23</f>
        <v>2314.102564102564</v>
      </c>
      <c r="F56" s="272">
        <f t="shared" si="0"/>
        <v>5.2631578947368536E-2</v>
      </c>
      <c r="G56" s="234"/>
      <c r="H56" s="131"/>
      <c r="I56" s="131"/>
      <c r="J56" s="131"/>
    </row>
    <row r="57" spans="1:10" x14ac:dyDescent="0.25">
      <c r="A57" s="234"/>
      <c r="B57" s="234"/>
      <c r="C57" s="273" t="s">
        <v>45</v>
      </c>
      <c r="D57" s="267">
        <f>Flex!D42</f>
        <v>3942.3076923076928</v>
      </c>
      <c r="E57" s="267">
        <f>Flex!E42</f>
        <v>3745.1923076923072</v>
      </c>
      <c r="F57" s="268">
        <f>(D57-E57)/E57</f>
        <v>5.263157894736871E-2</v>
      </c>
      <c r="G57" s="234"/>
      <c r="H57" s="131"/>
      <c r="I57" s="131"/>
      <c r="J57" s="131"/>
    </row>
    <row r="58" spans="1:10" ht="16.5" thickBot="1" x14ac:dyDescent="0.3">
      <c r="A58" s="234"/>
      <c r="B58" s="234"/>
      <c r="C58" s="269" t="s">
        <v>46</v>
      </c>
      <c r="D58" s="270">
        <f>D55-D56-D57</f>
        <v>3108.974358974358</v>
      </c>
      <c r="E58" s="270">
        <f>E55-E56-E57</f>
        <v>2953.525641025642</v>
      </c>
      <c r="F58" s="223">
        <f t="shared" si="0"/>
        <v>5.2631578947367731E-2</v>
      </c>
      <c r="G58" s="234"/>
      <c r="H58" s="131"/>
      <c r="I58" s="131"/>
      <c r="J58" s="131"/>
    </row>
    <row r="59" spans="1:10" ht="16.5" thickTop="1" x14ac:dyDescent="0.25">
      <c r="A59" s="234"/>
      <c r="B59" s="234"/>
      <c r="C59" s="266" t="s">
        <v>47</v>
      </c>
      <c r="D59" s="271">
        <f>Flex!D44+Flex!D45</f>
        <v>384.61538461538464</v>
      </c>
      <c r="E59" s="271">
        <f>Flex!E44+Flex!E45</f>
        <v>365.38461538461536</v>
      </c>
      <c r="F59" s="272">
        <f t="shared" si="0"/>
        <v>5.2631578947368571E-2</v>
      </c>
      <c r="G59" s="234"/>
      <c r="H59" s="131"/>
      <c r="I59" s="131"/>
      <c r="J59" s="131"/>
    </row>
    <row r="60" spans="1:10" ht="16.5" thickBot="1" x14ac:dyDescent="0.3">
      <c r="A60" s="234"/>
      <c r="B60" s="234"/>
      <c r="C60" s="266" t="s">
        <v>48</v>
      </c>
      <c r="D60" s="267">
        <f>Flex!D47</f>
        <v>512.82051282051282</v>
      </c>
      <c r="E60" s="267">
        <f>Flex!E47</f>
        <v>487.17948717948718</v>
      </c>
      <c r="F60" s="268">
        <f t="shared" si="0"/>
        <v>5.2631578947368411E-2</v>
      </c>
      <c r="G60" s="234"/>
      <c r="H60" s="131"/>
      <c r="I60" s="131"/>
      <c r="J60" s="131"/>
    </row>
    <row r="61" spans="1:10" ht="16.5" thickTop="1" x14ac:dyDescent="0.25">
      <c r="A61" s="234"/>
      <c r="B61" s="234"/>
      <c r="C61" s="221" t="s">
        <v>49</v>
      </c>
      <c r="D61" s="222">
        <f>D58+D59-D60</f>
        <v>2980.76923076923</v>
      </c>
      <c r="E61" s="222">
        <f>E58+E59-E60</f>
        <v>2831.73076923077</v>
      </c>
      <c r="F61" s="224">
        <f>(D61-E61)/E61</f>
        <v>5.2631578947367891E-2</v>
      </c>
      <c r="G61" s="234"/>
      <c r="H61" s="131"/>
      <c r="I61" s="131"/>
      <c r="J61" s="131"/>
    </row>
    <row r="62" spans="1:10" x14ac:dyDescent="0.25">
      <c r="A62" s="234"/>
      <c r="B62" s="234"/>
      <c r="C62" s="127" t="s">
        <v>50</v>
      </c>
      <c r="D62" s="234"/>
      <c r="E62" s="234"/>
      <c r="F62" s="234"/>
      <c r="G62" s="234"/>
      <c r="H62" s="131"/>
      <c r="I62" s="131"/>
      <c r="J62" s="131"/>
    </row>
    <row r="63" spans="1:10" x14ac:dyDescent="0.25">
      <c r="A63" s="234"/>
      <c r="B63" s="234"/>
      <c r="C63" s="127"/>
      <c r="D63" s="234"/>
      <c r="E63" s="234"/>
      <c r="F63" s="234"/>
      <c r="G63" s="234"/>
      <c r="H63" s="131"/>
      <c r="I63" s="131"/>
      <c r="J63" s="131"/>
    </row>
    <row r="64" spans="1:10" ht="20.25" x14ac:dyDescent="0.3">
      <c r="A64" s="254" t="s">
        <v>110</v>
      </c>
      <c r="B64" s="254"/>
      <c r="C64" s="255"/>
      <c r="D64" s="234"/>
      <c r="E64" s="234"/>
      <c r="F64" s="234"/>
      <c r="G64" s="234"/>
      <c r="H64" s="131"/>
      <c r="I64" s="131"/>
      <c r="J64" s="131"/>
    </row>
    <row r="65" spans="1:10" ht="28.5" customHeight="1" x14ac:dyDescent="0.25">
      <c r="A65" s="234"/>
      <c r="B65" s="234"/>
      <c r="C65" s="310" t="s">
        <v>1167</v>
      </c>
      <c r="D65" s="319"/>
      <c r="E65" s="319"/>
      <c r="F65" s="319"/>
      <c r="G65" s="319"/>
      <c r="H65" s="319"/>
      <c r="I65" s="319"/>
      <c r="J65" s="319"/>
    </row>
    <row r="66" spans="1:10" x14ac:dyDescent="0.25">
      <c r="A66" s="253"/>
      <c r="B66" s="234"/>
      <c r="C66" s="127"/>
      <c r="D66" s="234"/>
      <c r="E66" s="234"/>
      <c r="F66" s="234"/>
      <c r="G66" s="234"/>
      <c r="H66" s="131"/>
      <c r="I66" s="131"/>
      <c r="J66" s="131"/>
    </row>
    <row r="67" spans="1:10" ht="17.25" x14ac:dyDescent="0.3">
      <c r="B67" s="132" t="s">
        <v>1141</v>
      </c>
      <c r="C67" s="255"/>
      <c r="D67" s="255"/>
      <c r="E67" s="234"/>
      <c r="F67" s="234"/>
      <c r="G67" s="234"/>
      <c r="H67" s="131"/>
      <c r="I67" s="131"/>
      <c r="J67" s="131"/>
    </row>
    <row r="68" spans="1:10" x14ac:dyDescent="0.25">
      <c r="A68" s="234"/>
      <c r="B68" s="234"/>
      <c r="C68" s="310" t="s">
        <v>1133</v>
      </c>
      <c r="D68" s="311"/>
      <c r="E68" s="311"/>
      <c r="F68" s="311"/>
      <c r="G68" s="311"/>
      <c r="H68" s="311"/>
      <c r="I68" s="311"/>
      <c r="J68" s="311"/>
    </row>
    <row r="69" spans="1:10" x14ac:dyDescent="0.25">
      <c r="A69" s="234"/>
      <c r="B69" s="234"/>
      <c r="C69" s="310" t="s">
        <v>1181</v>
      </c>
      <c r="D69" s="311"/>
      <c r="E69" s="311"/>
      <c r="F69" s="311"/>
      <c r="G69" s="311"/>
      <c r="H69" s="311"/>
      <c r="I69" s="311"/>
      <c r="J69" s="311"/>
    </row>
    <row r="70" spans="1:10" ht="16.5" thickBot="1" x14ac:dyDescent="0.3">
      <c r="A70" s="234"/>
      <c r="B70" s="234"/>
      <c r="C70" t="s">
        <v>463</v>
      </c>
      <c r="D70" t="s">
        <v>1162</v>
      </c>
      <c r="E70" t="s">
        <v>1163</v>
      </c>
      <c r="F70" t="s">
        <v>1164</v>
      </c>
      <c r="G70" s="234"/>
      <c r="H70" s="131"/>
      <c r="I70" s="131"/>
      <c r="J70" s="131"/>
    </row>
    <row r="71" spans="1:10" ht="16.5" thickBot="1" x14ac:dyDescent="0.3">
      <c r="A71" s="234"/>
      <c r="B71" s="234"/>
      <c r="C71">
        <f ca="1">C72-1</f>
        <v>2021</v>
      </c>
      <c r="D71" s="280">
        <f>Users</f>
        <v>100</v>
      </c>
      <c r="E71" s="22">
        <f>D71/2</f>
        <v>50</v>
      </c>
      <c r="F71" s="22">
        <f>D71*1.5</f>
        <v>150</v>
      </c>
      <c r="G71" s="234"/>
      <c r="H71" s="131"/>
      <c r="I71" s="131"/>
      <c r="J71" s="131"/>
    </row>
    <row r="72" spans="1:10" x14ac:dyDescent="0.25">
      <c r="A72" s="234"/>
      <c r="B72" s="234"/>
      <c r="C72">
        <f ca="1">C73-1</f>
        <v>2022</v>
      </c>
      <c r="D72" s="22">
        <f>D71*0.8</f>
        <v>80</v>
      </c>
      <c r="E72" s="22">
        <f>E71*1.2</f>
        <v>60</v>
      </c>
      <c r="F72" s="22">
        <f>F71*1.1</f>
        <v>165</v>
      </c>
      <c r="G72" s="234"/>
      <c r="H72" s="131"/>
      <c r="I72" s="131"/>
      <c r="J72" s="131"/>
    </row>
    <row r="73" spans="1:10" x14ac:dyDescent="0.25">
      <c r="A73" s="234"/>
      <c r="B73" s="234"/>
      <c r="C73">
        <f ca="1">C74-1</f>
        <v>2023</v>
      </c>
      <c r="D73" s="22">
        <f t="shared" ref="D73:D74" si="1">D72*0.8</f>
        <v>64</v>
      </c>
      <c r="E73" s="22">
        <f t="shared" ref="E73:E74" si="2">E72*1.2</f>
        <v>72</v>
      </c>
      <c r="F73" s="22">
        <f t="shared" ref="F73:F74" si="3">F72*1.1</f>
        <v>181.50000000000003</v>
      </c>
      <c r="G73" s="234"/>
      <c r="H73" s="131"/>
      <c r="I73" s="131"/>
      <c r="J73" s="131"/>
    </row>
    <row r="74" spans="1:10" x14ac:dyDescent="0.25">
      <c r="A74" s="234"/>
      <c r="B74" s="234"/>
      <c r="C74">
        <f ca="1">YEAR(NOW())</f>
        <v>2024</v>
      </c>
      <c r="D74" s="22">
        <f t="shared" si="1"/>
        <v>51.2</v>
      </c>
      <c r="E74" s="22">
        <f t="shared" si="2"/>
        <v>86.399999999999991</v>
      </c>
      <c r="F74" s="22">
        <f t="shared" si="3"/>
        <v>199.65000000000003</v>
      </c>
      <c r="G74" s="234"/>
      <c r="H74" s="131"/>
      <c r="I74" s="131"/>
      <c r="J74" s="131"/>
    </row>
    <row r="75" spans="1:10" x14ac:dyDescent="0.25">
      <c r="A75" s="234"/>
      <c r="B75" s="234"/>
      <c r="D75" s="234"/>
      <c r="E75" s="234"/>
      <c r="F75" s="234"/>
      <c r="G75" s="234"/>
      <c r="H75" s="131"/>
      <c r="I75" s="131"/>
      <c r="J75" s="131"/>
    </row>
    <row r="76" spans="1:10" x14ac:dyDescent="0.25">
      <c r="A76" s="234"/>
      <c r="B76" s="234"/>
      <c r="C76" s="127" t="s">
        <v>1142</v>
      </c>
      <c r="D76" s="234"/>
      <c r="E76" s="234"/>
      <c r="F76" s="234"/>
      <c r="G76" s="234"/>
      <c r="H76" s="131"/>
      <c r="I76" s="131"/>
      <c r="J76" s="131"/>
    </row>
    <row r="77" spans="1:10" x14ac:dyDescent="0.25">
      <c r="A77" s="234"/>
      <c r="B77" s="234"/>
      <c r="C77" s="127"/>
      <c r="D77" s="234"/>
      <c r="E77" s="234"/>
      <c r="F77" s="234"/>
      <c r="G77" s="234"/>
      <c r="H77" s="131"/>
      <c r="I77" s="131"/>
      <c r="J77" s="131"/>
    </row>
    <row r="78" spans="1:10" ht="17.25" x14ac:dyDescent="0.3">
      <c r="B78" s="132" t="s">
        <v>1161</v>
      </c>
      <c r="C78" s="234"/>
      <c r="D78" s="234"/>
      <c r="E78" s="234"/>
      <c r="F78" s="234"/>
      <c r="G78" s="234"/>
      <c r="H78" s="131"/>
      <c r="I78" s="131"/>
      <c r="J78" s="131"/>
    </row>
    <row r="79" spans="1:10" ht="20.25" x14ac:dyDescent="0.3">
      <c r="A79" s="119"/>
      <c r="B79" s="119"/>
      <c r="C79" s="310" t="s">
        <v>1165</v>
      </c>
      <c r="D79" s="311"/>
      <c r="E79" s="311"/>
      <c r="F79" s="311"/>
      <c r="G79" s="311"/>
      <c r="H79" s="311"/>
      <c r="I79" s="311"/>
      <c r="J79" s="311"/>
    </row>
    <row r="80" spans="1:10" ht="20.25" x14ac:dyDescent="0.3">
      <c r="A80" s="119"/>
      <c r="B80" s="119"/>
      <c r="C80" s="258" t="s">
        <v>1166</v>
      </c>
      <c r="D80" s="246"/>
      <c r="E80" s="246"/>
      <c r="F80" s="246"/>
      <c r="G80" s="246"/>
      <c r="H80" s="246"/>
      <c r="I80" s="246"/>
      <c r="J80" s="246"/>
    </row>
    <row r="81" spans="1:10" x14ac:dyDescent="0.25">
      <c r="A81" s="234"/>
      <c r="B81" s="234"/>
      <c r="E81" s="234"/>
      <c r="F81" s="234"/>
      <c r="G81" s="234"/>
      <c r="H81" s="234"/>
      <c r="I81" s="234"/>
      <c r="J81" s="234"/>
    </row>
    <row r="82" spans="1:10" x14ac:dyDescent="0.25">
      <c r="A82" s="234"/>
      <c r="B82" s="234"/>
      <c r="E82" s="261"/>
      <c r="F82" s="261" t="s">
        <v>51</v>
      </c>
      <c r="G82" s="234"/>
      <c r="H82" s="234"/>
      <c r="I82" s="234"/>
      <c r="J82" s="234"/>
    </row>
    <row r="83" spans="1:10" x14ac:dyDescent="0.25">
      <c r="A83" s="234"/>
      <c r="B83" s="234"/>
      <c r="E83" s="261" t="s">
        <v>31</v>
      </c>
      <c r="F83" s="262">
        <f>rCostsTotal</f>
        <v>25323.859472219207</v>
      </c>
      <c r="G83" s="234"/>
      <c r="H83" s="234"/>
      <c r="I83" s="234"/>
      <c r="J83" s="234"/>
    </row>
    <row r="84" spans="1:10" ht="15.75" customHeight="1" x14ac:dyDescent="0.25">
      <c r="A84" s="234"/>
      <c r="B84" s="234"/>
      <c r="E84" s="261" t="s">
        <v>32</v>
      </c>
      <c r="F84" s="262">
        <f>rBenTotal</f>
        <v>125594.32157547903</v>
      </c>
      <c r="G84" s="234"/>
      <c r="H84" s="234"/>
      <c r="I84" s="234"/>
      <c r="J84" s="234"/>
    </row>
    <row r="85" spans="1:10" x14ac:dyDescent="0.25">
      <c r="A85" s="234"/>
      <c r="B85" s="234"/>
      <c r="C85" s="253"/>
      <c r="D85" s="234"/>
      <c r="E85" s="260" t="str">
        <f>"ROI = "&amp;TEXT(rROI,"#%")</f>
        <v>ROI = 396%</v>
      </c>
      <c r="F85" s="260"/>
      <c r="G85" s="234"/>
      <c r="H85" s="234"/>
      <c r="I85" s="234"/>
      <c r="J85" s="234"/>
    </row>
    <row r="86" spans="1:10" x14ac:dyDescent="0.25">
      <c r="A86" s="234"/>
      <c r="B86" s="234"/>
      <c r="D86" s="234"/>
      <c r="E86" s="234"/>
      <c r="F86" s="220"/>
      <c r="G86" s="234"/>
      <c r="H86" s="234"/>
      <c r="I86" s="234"/>
      <c r="J86" s="234"/>
    </row>
    <row r="87" spans="1:10" x14ac:dyDescent="0.25">
      <c r="A87" s="234"/>
      <c r="B87" s="234"/>
      <c r="C87" s="234"/>
      <c r="D87" s="234"/>
      <c r="E87" s="234"/>
      <c r="F87" s="220"/>
      <c r="G87" s="234"/>
      <c r="H87" s="234"/>
      <c r="I87" s="234"/>
      <c r="J87" s="234"/>
    </row>
    <row r="88" spans="1:10" x14ac:dyDescent="0.25">
      <c r="A88" s="234"/>
      <c r="B88" s="234"/>
      <c r="C88" s="234"/>
      <c r="D88" s="234"/>
      <c r="E88" s="234"/>
      <c r="F88" s="220"/>
      <c r="G88" s="234"/>
      <c r="H88" s="234"/>
      <c r="I88" s="234"/>
      <c r="J88" s="234"/>
    </row>
    <row r="89" spans="1:10" x14ac:dyDescent="0.25">
      <c r="A89" s="234"/>
      <c r="B89" s="234"/>
      <c r="C89" s="234"/>
      <c r="D89" s="234"/>
      <c r="E89" s="234"/>
      <c r="F89" s="234"/>
      <c r="G89" s="234"/>
      <c r="H89" s="234"/>
      <c r="I89" s="234"/>
      <c r="J89" s="234"/>
    </row>
    <row r="90" spans="1:10" x14ac:dyDescent="0.25">
      <c r="A90" s="234"/>
      <c r="B90" s="234"/>
      <c r="C90" s="234"/>
      <c r="D90" s="234"/>
      <c r="E90" s="234"/>
      <c r="F90" s="234"/>
      <c r="G90" s="234"/>
      <c r="H90" s="234"/>
      <c r="I90" s="234"/>
      <c r="J90" s="234"/>
    </row>
    <row r="91" spans="1:10" x14ac:dyDescent="0.25">
      <c r="A91" s="234"/>
      <c r="B91" s="234"/>
      <c r="C91" s="127" t="s">
        <v>52</v>
      </c>
      <c r="D91" s="234"/>
      <c r="G91" s="234"/>
      <c r="H91" s="234"/>
      <c r="I91" s="234"/>
      <c r="J91" s="234"/>
    </row>
    <row r="92" spans="1:10" x14ac:dyDescent="0.25">
      <c r="A92" s="234"/>
      <c r="B92" s="234"/>
      <c r="C92" s="234"/>
      <c r="D92" s="234"/>
      <c r="E92" s="234"/>
      <c r="F92" s="234"/>
      <c r="G92" s="234"/>
      <c r="H92" s="234"/>
      <c r="I92" s="234"/>
      <c r="J92" s="234"/>
    </row>
    <row r="93" spans="1:10" ht="20.25" x14ac:dyDescent="0.3">
      <c r="A93" s="119" t="s">
        <v>108</v>
      </c>
      <c r="B93" s="234"/>
      <c r="C93" s="234"/>
      <c r="D93" s="234"/>
      <c r="E93" s="234"/>
      <c r="F93" s="234"/>
      <c r="G93" s="234"/>
      <c r="H93" s="234"/>
      <c r="I93" s="234"/>
      <c r="J93" s="234"/>
    </row>
    <row r="94" spans="1:10" ht="45.75" customHeight="1" x14ac:dyDescent="0.25">
      <c r="A94" s="234"/>
      <c r="B94" s="234"/>
      <c r="C94" s="310" t="s">
        <v>481</v>
      </c>
      <c r="D94" s="311"/>
      <c r="E94" s="311"/>
      <c r="F94" s="311"/>
      <c r="G94" s="311"/>
      <c r="H94" s="311"/>
      <c r="I94" s="311"/>
      <c r="J94" s="311"/>
    </row>
    <row r="95" spans="1:10" x14ac:dyDescent="0.25">
      <c r="A95" s="234"/>
      <c r="B95" s="234"/>
      <c r="C95" s="234" t="s">
        <v>1179</v>
      </c>
      <c r="D95" s="234"/>
      <c r="E95" s="234"/>
      <c r="F95" s="234"/>
      <c r="G95" s="234"/>
      <c r="H95" s="234"/>
      <c r="I95" s="234"/>
      <c r="J95" s="234"/>
    </row>
    <row r="96" spans="1:10" x14ac:dyDescent="0.25">
      <c r="A96" s="234"/>
      <c r="B96" s="234"/>
      <c r="C96" s="234"/>
      <c r="D96" s="234"/>
      <c r="E96" s="234"/>
      <c r="F96" s="234"/>
      <c r="G96" s="234"/>
      <c r="H96" s="234"/>
      <c r="I96" s="234"/>
      <c r="J96" s="234"/>
    </row>
    <row r="97" spans="3:6" x14ac:dyDescent="0.25">
      <c r="C97" s="234"/>
      <c r="D97" s="234"/>
      <c r="E97" s="234"/>
      <c r="F97" s="234"/>
    </row>
    <row r="102" spans="3:6" x14ac:dyDescent="0.25">
      <c r="C102" s="127" t="s">
        <v>1180</v>
      </c>
    </row>
  </sheetData>
  <mergeCells count="29">
    <mergeCell ref="C79:J79"/>
    <mergeCell ref="C38:J38"/>
    <mergeCell ref="C36:J36"/>
    <mergeCell ref="C48:J48"/>
    <mergeCell ref="C49:J49"/>
    <mergeCell ref="D51:F51"/>
    <mergeCell ref="C68:J68"/>
    <mergeCell ref="C65:J65"/>
    <mergeCell ref="C2:F2"/>
    <mergeCell ref="C3:F3"/>
    <mergeCell ref="G3:J3"/>
    <mergeCell ref="C5:F5"/>
    <mergeCell ref="G5:J5"/>
    <mergeCell ref="C94:J94"/>
    <mergeCell ref="C69:J69"/>
    <mergeCell ref="C6:F6"/>
    <mergeCell ref="G6:J6"/>
    <mergeCell ref="C16:J16"/>
    <mergeCell ref="C18:J18"/>
    <mergeCell ref="B15:I15"/>
    <mergeCell ref="C17:J17"/>
    <mergeCell ref="C10:E10"/>
    <mergeCell ref="C13:J13"/>
    <mergeCell ref="C14:J14"/>
    <mergeCell ref="C23:J23"/>
    <mergeCell ref="C21:J21"/>
    <mergeCell ref="C22:J22"/>
    <mergeCell ref="D31:E31"/>
    <mergeCell ref="C30:J30"/>
  </mergeCells>
  <hyperlinks>
    <hyperlink ref="F10" r:id="rId1" location="getStarted" xr:uid="{EE6AFF7B-CD28-41B2-9464-707BCE8F3E70}"/>
  </hyperlinks>
  <pageMargins left="0.7" right="0.7" top="0.75" bottom="0.75" header="0.3" footer="0.3"/>
  <pageSetup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DFFF-ED49-4033-943D-90C87291D93D}">
  <sheetPr>
    <tabColor theme="5" tint="0.79998168889431442"/>
  </sheetPr>
  <dimension ref="A1:J72"/>
  <sheetViews>
    <sheetView showGridLines="0" zoomScaleNormal="100" workbookViewId="0"/>
  </sheetViews>
  <sheetFormatPr defaultRowHeight="15.75" x14ac:dyDescent="0.25"/>
  <cols>
    <col min="1" max="1" width="2.5" customWidth="1"/>
    <col min="2" max="2" width="12.375" bestFit="1" customWidth="1"/>
    <col min="3" max="3" width="11" customWidth="1"/>
    <col min="4" max="5" width="7.375" bestFit="1" customWidth="1"/>
    <col min="6" max="6" width="11" bestFit="1" customWidth="1"/>
    <col min="10" max="10" width="38.375" customWidth="1"/>
  </cols>
  <sheetData>
    <row r="1" spans="1:10" ht="31.5" x14ac:dyDescent="0.5">
      <c r="A1" s="2" t="s">
        <v>111</v>
      </c>
    </row>
    <row r="2" spans="1:10" ht="16.5" x14ac:dyDescent="0.25">
      <c r="B2" s="373" t="s">
        <v>438</v>
      </c>
      <c r="C2" s="373"/>
      <c r="D2" s="373"/>
      <c r="E2" s="373"/>
      <c r="F2" s="373"/>
      <c r="G2" s="373"/>
      <c r="H2" s="373"/>
      <c r="I2" s="373"/>
      <c r="J2" s="373"/>
    </row>
    <row r="3" spans="1:10" ht="15.75" customHeight="1" x14ac:dyDescent="0.25">
      <c r="B3" s="373" t="s">
        <v>439</v>
      </c>
      <c r="C3" s="373"/>
      <c r="D3" s="373"/>
      <c r="E3" s="373"/>
      <c r="F3" s="373"/>
      <c r="G3" s="373"/>
      <c r="H3" s="373"/>
      <c r="I3" s="373"/>
      <c r="J3" s="373"/>
    </row>
    <row r="4" spans="1:10" ht="15.75" customHeight="1" x14ac:dyDescent="0.25">
      <c r="B4" s="373" t="s">
        <v>440</v>
      </c>
      <c r="C4" s="373"/>
      <c r="D4" s="373"/>
      <c r="E4" s="373"/>
      <c r="F4" s="373"/>
      <c r="G4" s="373"/>
      <c r="H4" s="373"/>
      <c r="I4" s="373"/>
      <c r="J4" s="373"/>
    </row>
    <row r="5" spans="1:10" ht="15.75" customHeight="1" x14ac:dyDescent="0.25">
      <c r="B5" s="373" t="s">
        <v>441</v>
      </c>
      <c r="C5" s="373"/>
      <c r="D5" s="373"/>
      <c r="E5" s="373"/>
      <c r="F5" s="373"/>
      <c r="G5" s="373"/>
      <c r="H5" s="373"/>
      <c r="I5" s="373"/>
      <c r="J5" s="373"/>
    </row>
    <row r="6" spans="1:10" x14ac:dyDescent="0.25">
      <c r="B6" t="s">
        <v>442</v>
      </c>
      <c r="D6" s="107" t="s">
        <v>443</v>
      </c>
    </row>
    <row r="9" spans="1:10" ht="19.5" x14ac:dyDescent="0.3">
      <c r="A9" s="46" t="s">
        <v>444</v>
      </c>
    </row>
    <row r="10" spans="1:10" ht="15.75" customHeight="1" x14ac:dyDescent="0.25">
      <c r="B10" s="373" t="s">
        <v>445</v>
      </c>
      <c r="C10" s="373"/>
      <c r="D10" s="373"/>
      <c r="E10" s="373"/>
      <c r="F10" s="373"/>
      <c r="G10" s="373"/>
      <c r="H10" s="373"/>
      <c r="I10" s="373"/>
      <c r="J10" s="373"/>
    </row>
    <row r="11" spans="1:10" ht="25.5" customHeight="1" x14ac:dyDescent="0.25">
      <c r="B11" s="373" t="s">
        <v>446</v>
      </c>
      <c r="C11" s="373"/>
      <c r="D11" s="373"/>
      <c r="E11" s="373"/>
      <c r="F11" s="373"/>
      <c r="G11" s="373"/>
      <c r="H11" s="373"/>
      <c r="I11" s="373"/>
      <c r="J11" s="373"/>
    </row>
    <row r="12" spans="1:10" ht="25.5" customHeight="1" x14ac:dyDescent="0.25">
      <c r="B12" s="53" t="s">
        <v>447</v>
      </c>
      <c r="C12" s="53"/>
      <c r="D12" s="53"/>
      <c r="E12" s="53"/>
      <c r="F12" s="53"/>
      <c r="G12" s="53"/>
      <c r="H12" s="53"/>
      <c r="I12" s="53"/>
      <c r="J12" s="53"/>
    </row>
    <row r="13" spans="1:10" ht="31.5" customHeight="1" x14ac:dyDescent="0.25">
      <c r="B13" s="228" t="s">
        <v>448</v>
      </c>
      <c r="C13" s="228" t="s">
        <v>449</v>
      </c>
    </row>
    <row r="14" spans="1:10" ht="16.5" thickBot="1" x14ac:dyDescent="0.3">
      <c r="B14" s="144" t="s">
        <v>55</v>
      </c>
      <c r="C14" s="144">
        <v>2015</v>
      </c>
      <c r="D14" s="144">
        <v>2016</v>
      </c>
      <c r="E14" s="144">
        <v>2017</v>
      </c>
      <c r="F14" s="144" t="s">
        <v>450</v>
      </c>
    </row>
    <row r="15" spans="1:10" x14ac:dyDescent="0.25">
      <c r="B15" s="139" t="s">
        <v>451</v>
      </c>
      <c r="C15" s="136"/>
      <c r="D15" s="136">
        <v>67800</v>
      </c>
      <c r="E15" s="136"/>
      <c r="F15" s="136">
        <v>67800</v>
      </c>
    </row>
    <row r="16" spans="1:10" x14ac:dyDescent="0.25">
      <c r="B16" s="139" t="s">
        <v>452</v>
      </c>
      <c r="C16" s="136"/>
      <c r="D16" s="136">
        <v>6300</v>
      </c>
      <c r="E16" s="136"/>
      <c r="F16" s="136">
        <v>6300</v>
      </c>
    </row>
    <row r="17" spans="1:10" x14ac:dyDescent="0.25">
      <c r="B17" s="139" t="s">
        <v>453</v>
      </c>
      <c r="C17" s="136">
        <v>23700</v>
      </c>
      <c r="D17" s="136">
        <v>2300</v>
      </c>
      <c r="E17" s="136">
        <v>40000</v>
      </c>
      <c r="F17" s="136">
        <v>66000</v>
      </c>
    </row>
    <row r="18" spans="1:10" ht="16.5" thickBot="1" x14ac:dyDescent="0.3">
      <c r="B18" s="139" t="s">
        <v>454</v>
      </c>
      <c r="C18" s="136">
        <v>2300</v>
      </c>
      <c r="D18" s="136">
        <v>4100</v>
      </c>
      <c r="E18" s="136">
        <v>25700</v>
      </c>
      <c r="F18" s="136">
        <v>32100</v>
      </c>
    </row>
    <row r="19" spans="1:10" ht="16.5" thickTop="1" x14ac:dyDescent="0.25">
      <c r="B19" s="137" t="s">
        <v>450</v>
      </c>
      <c r="C19" s="138">
        <v>26000</v>
      </c>
      <c r="D19" s="138">
        <v>80500</v>
      </c>
      <c r="E19" s="138">
        <v>65700</v>
      </c>
      <c r="F19" s="138">
        <v>172200</v>
      </c>
    </row>
    <row r="22" spans="1:10" ht="19.5" x14ac:dyDescent="0.3">
      <c r="A22" s="46" t="s">
        <v>455</v>
      </c>
    </row>
    <row r="23" spans="1:10" ht="49.5" customHeight="1" x14ac:dyDescent="0.25">
      <c r="B23" s="373" t="s">
        <v>456</v>
      </c>
      <c r="C23" s="373"/>
      <c r="D23" s="373"/>
      <c r="E23" s="373"/>
      <c r="F23" s="373"/>
      <c r="G23" s="373"/>
      <c r="H23" s="373"/>
      <c r="I23" s="373"/>
      <c r="J23" s="141"/>
    </row>
    <row r="24" spans="1:10" x14ac:dyDescent="0.25">
      <c r="B24" s="53" t="s">
        <v>457</v>
      </c>
    </row>
    <row r="25" spans="1:10" x14ac:dyDescent="0.25">
      <c r="B25" s="135" t="s">
        <v>448</v>
      </c>
      <c r="C25" s="135" t="s">
        <v>449</v>
      </c>
    </row>
    <row r="26" spans="1:10" x14ac:dyDescent="0.25">
      <c r="B26" s="135" t="s">
        <v>55</v>
      </c>
      <c r="C26">
        <v>2015</v>
      </c>
      <c r="D26">
        <v>2016</v>
      </c>
      <c r="E26">
        <v>2017</v>
      </c>
      <c r="F26" t="s">
        <v>450</v>
      </c>
    </row>
    <row r="27" spans="1:10" x14ac:dyDescent="0.25">
      <c r="B27" s="143" t="s">
        <v>451</v>
      </c>
      <c r="C27" s="133"/>
      <c r="D27" s="133">
        <v>67800</v>
      </c>
      <c r="E27" s="133"/>
      <c r="F27" s="133">
        <v>67800</v>
      </c>
    </row>
    <row r="28" spans="1:10" x14ac:dyDescent="0.25">
      <c r="B28" s="143" t="s">
        <v>452</v>
      </c>
      <c r="C28" s="133"/>
      <c r="D28" s="133">
        <v>6300</v>
      </c>
      <c r="E28" s="133"/>
      <c r="F28" s="133">
        <v>6300</v>
      </c>
    </row>
    <row r="29" spans="1:10" x14ac:dyDescent="0.25">
      <c r="B29" s="143" t="s">
        <v>453</v>
      </c>
      <c r="C29" s="133">
        <v>23700</v>
      </c>
      <c r="D29" s="133">
        <v>2300</v>
      </c>
      <c r="E29" s="133">
        <v>40000</v>
      </c>
      <c r="F29" s="133">
        <v>66000</v>
      </c>
    </row>
    <row r="30" spans="1:10" x14ac:dyDescent="0.25">
      <c r="B30" s="143" t="s">
        <v>454</v>
      </c>
      <c r="C30" s="133">
        <v>2300</v>
      </c>
      <c r="D30" s="133">
        <v>4100</v>
      </c>
      <c r="E30" s="133">
        <v>25700</v>
      </c>
      <c r="F30" s="133">
        <v>32100</v>
      </c>
    </row>
    <row r="31" spans="1:10" x14ac:dyDescent="0.25">
      <c r="B31" s="143" t="s">
        <v>450</v>
      </c>
      <c r="C31" s="133">
        <v>26000</v>
      </c>
      <c r="D31" s="133">
        <v>80500</v>
      </c>
      <c r="E31" s="133">
        <v>65700</v>
      </c>
      <c r="F31" s="133">
        <v>172200</v>
      </c>
    </row>
    <row r="33" spans="1:10" ht="16.5" thickTop="1" x14ac:dyDescent="0.25"/>
    <row r="38" spans="1:10" ht="19.5" x14ac:dyDescent="0.3">
      <c r="A38" s="46" t="s">
        <v>458</v>
      </c>
    </row>
    <row r="39" spans="1:10" ht="25.5" customHeight="1" x14ac:dyDescent="0.25">
      <c r="B39" s="373" t="s">
        <v>459</v>
      </c>
      <c r="C39" s="373"/>
      <c r="D39" s="373"/>
      <c r="E39" s="373"/>
      <c r="F39" s="373"/>
      <c r="G39" s="373"/>
      <c r="H39" s="373"/>
      <c r="I39" s="373"/>
      <c r="J39" s="373"/>
    </row>
    <row r="40" spans="1:10" x14ac:dyDescent="0.25">
      <c r="B40" s="53" t="s">
        <v>460</v>
      </c>
    </row>
    <row r="41" spans="1:10" x14ac:dyDescent="0.25">
      <c r="B41" s="135" t="s">
        <v>448</v>
      </c>
      <c r="H41" s="145" t="s">
        <v>461</v>
      </c>
    </row>
    <row r="42" spans="1:10" x14ac:dyDescent="0.25">
      <c r="C42">
        <v>2015</v>
      </c>
      <c r="D42">
        <v>2016</v>
      </c>
      <c r="E42">
        <v>2017</v>
      </c>
      <c r="F42" t="s">
        <v>450</v>
      </c>
    </row>
    <row r="43" spans="1:10" x14ac:dyDescent="0.25">
      <c r="B43" s="143" t="s">
        <v>451</v>
      </c>
      <c r="C43" s="133"/>
      <c r="D43" s="133">
        <v>67800</v>
      </c>
      <c r="E43" s="133"/>
      <c r="F43" s="133">
        <v>67800</v>
      </c>
    </row>
    <row r="44" spans="1:10" x14ac:dyDescent="0.25">
      <c r="B44" s="143" t="s">
        <v>452</v>
      </c>
      <c r="C44" s="133"/>
      <c r="D44" s="133">
        <v>6300</v>
      </c>
      <c r="E44" s="133"/>
      <c r="F44" s="133">
        <v>6300</v>
      </c>
    </row>
    <row r="45" spans="1:10" x14ac:dyDescent="0.25">
      <c r="B45" s="143" t="s">
        <v>453</v>
      </c>
      <c r="C45" s="133">
        <v>23700</v>
      </c>
      <c r="D45" s="133">
        <v>2300</v>
      </c>
      <c r="E45" s="133">
        <v>40000</v>
      </c>
      <c r="F45" s="133">
        <v>66000</v>
      </c>
    </row>
    <row r="46" spans="1:10" x14ac:dyDescent="0.25">
      <c r="B46" s="143" t="s">
        <v>454</v>
      </c>
      <c r="C46" s="133">
        <v>2300</v>
      </c>
      <c r="D46" s="133">
        <v>4100</v>
      </c>
      <c r="E46" s="133">
        <v>25700</v>
      </c>
      <c r="F46" s="133">
        <v>32100</v>
      </c>
    </row>
    <row r="47" spans="1:10" x14ac:dyDescent="0.25">
      <c r="B47" s="143" t="s">
        <v>450</v>
      </c>
      <c r="C47" s="133">
        <v>26000</v>
      </c>
      <c r="D47" s="133">
        <v>80500</v>
      </c>
      <c r="E47" s="133">
        <v>65700</v>
      </c>
      <c r="F47" s="133">
        <v>172200</v>
      </c>
    </row>
    <row r="55" spans="1:6" x14ac:dyDescent="0.25">
      <c r="A55" s="195" t="s">
        <v>462</v>
      </c>
    </row>
    <row r="56" spans="1:6" x14ac:dyDescent="0.25">
      <c r="B56" t="s">
        <v>463</v>
      </c>
      <c r="C56" t="s">
        <v>55</v>
      </c>
      <c r="D56" t="s">
        <v>464</v>
      </c>
      <c r="E56" t="s">
        <v>465</v>
      </c>
      <c r="F56" t="s">
        <v>466</v>
      </c>
    </row>
    <row r="57" spans="1:6" x14ac:dyDescent="0.25">
      <c r="B57">
        <v>2017</v>
      </c>
      <c r="C57" t="s">
        <v>454</v>
      </c>
      <c r="D57" t="s">
        <v>467</v>
      </c>
      <c r="E57" s="133">
        <v>20000</v>
      </c>
      <c r="F57" s="134">
        <v>0.75</v>
      </c>
    </row>
    <row r="58" spans="1:6" x14ac:dyDescent="0.25">
      <c r="B58">
        <v>2015</v>
      </c>
      <c r="C58" t="s">
        <v>453</v>
      </c>
      <c r="D58" t="s">
        <v>468</v>
      </c>
      <c r="E58" s="133">
        <v>3700</v>
      </c>
      <c r="F58" s="134">
        <v>0.22</v>
      </c>
    </row>
    <row r="59" spans="1:6" x14ac:dyDescent="0.25">
      <c r="B59">
        <v>2017</v>
      </c>
      <c r="C59" t="s">
        <v>453</v>
      </c>
      <c r="D59" t="s">
        <v>469</v>
      </c>
      <c r="E59" s="133">
        <v>4000</v>
      </c>
      <c r="F59" s="134">
        <v>0.22</v>
      </c>
    </row>
    <row r="60" spans="1:6" x14ac:dyDescent="0.25">
      <c r="B60">
        <v>2015</v>
      </c>
      <c r="C60" t="s">
        <v>453</v>
      </c>
      <c r="D60" t="s">
        <v>470</v>
      </c>
      <c r="E60" s="133">
        <v>13300</v>
      </c>
      <c r="F60" s="134">
        <v>0.56000000000000005</v>
      </c>
    </row>
    <row r="61" spans="1:6" x14ac:dyDescent="0.25">
      <c r="B61">
        <v>2017</v>
      </c>
      <c r="C61" t="s">
        <v>453</v>
      </c>
      <c r="D61" t="s">
        <v>471</v>
      </c>
      <c r="E61" s="133">
        <v>36000</v>
      </c>
      <c r="F61" s="134">
        <v>1</v>
      </c>
    </row>
    <row r="62" spans="1:6" x14ac:dyDescent="0.25">
      <c r="B62">
        <v>2015</v>
      </c>
      <c r="C62" t="s">
        <v>454</v>
      </c>
      <c r="D62" t="s">
        <v>472</v>
      </c>
      <c r="E62" s="133">
        <v>2300</v>
      </c>
      <c r="F62" s="134">
        <v>0.35</v>
      </c>
    </row>
    <row r="63" spans="1:6" x14ac:dyDescent="0.25">
      <c r="B63">
        <v>2016</v>
      </c>
      <c r="C63" t="s">
        <v>453</v>
      </c>
      <c r="D63" t="s">
        <v>468</v>
      </c>
      <c r="E63" s="133">
        <v>2300</v>
      </c>
      <c r="F63" s="134">
        <v>0.28000000000000003</v>
      </c>
    </row>
    <row r="64" spans="1:6" x14ac:dyDescent="0.25">
      <c r="B64">
        <v>2016</v>
      </c>
      <c r="C64" t="s">
        <v>454</v>
      </c>
      <c r="D64" t="s">
        <v>473</v>
      </c>
      <c r="E64" s="133">
        <v>3100</v>
      </c>
      <c r="F64" s="134">
        <v>0.36</v>
      </c>
    </row>
    <row r="65" spans="2:6" x14ac:dyDescent="0.25">
      <c r="B65">
        <v>2016</v>
      </c>
      <c r="C65" t="s">
        <v>452</v>
      </c>
      <c r="D65" t="s">
        <v>474</v>
      </c>
      <c r="E65" s="133">
        <v>6300</v>
      </c>
      <c r="F65" s="134">
        <v>0.4</v>
      </c>
    </row>
    <row r="66" spans="2:6" x14ac:dyDescent="0.25">
      <c r="B66">
        <v>2017</v>
      </c>
      <c r="C66" t="s">
        <v>454</v>
      </c>
      <c r="D66" t="s">
        <v>473</v>
      </c>
      <c r="E66" s="133">
        <v>5100</v>
      </c>
      <c r="F66" s="134">
        <v>0.38</v>
      </c>
    </row>
    <row r="67" spans="2:6" x14ac:dyDescent="0.25">
      <c r="B67">
        <v>2016</v>
      </c>
      <c r="C67" t="s">
        <v>451</v>
      </c>
      <c r="D67" t="s">
        <v>475</v>
      </c>
      <c r="E67" s="133">
        <v>17000</v>
      </c>
      <c r="F67" s="134">
        <v>0.9</v>
      </c>
    </row>
    <row r="68" spans="2:6" x14ac:dyDescent="0.25">
      <c r="B68">
        <v>2016</v>
      </c>
      <c r="C68" t="s">
        <v>451</v>
      </c>
      <c r="D68" t="s">
        <v>476</v>
      </c>
      <c r="E68" s="133">
        <v>21000</v>
      </c>
      <c r="F68" s="134">
        <v>0.9</v>
      </c>
    </row>
    <row r="69" spans="2:6" x14ac:dyDescent="0.25">
      <c r="B69">
        <v>2016</v>
      </c>
      <c r="C69" t="s">
        <v>451</v>
      </c>
      <c r="D69" t="s">
        <v>477</v>
      </c>
      <c r="E69" s="133">
        <v>29800</v>
      </c>
      <c r="F69" s="134">
        <v>0.9</v>
      </c>
    </row>
    <row r="70" spans="2:6" x14ac:dyDescent="0.25">
      <c r="B70">
        <v>2016</v>
      </c>
      <c r="C70" t="s">
        <v>454</v>
      </c>
      <c r="D70" t="s">
        <v>478</v>
      </c>
      <c r="E70" s="133">
        <v>1000</v>
      </c>
      <c r="F70" s="134">
        <v>0.23</v>
      </c>
    </row>
    <row r="71" spans="2:6" x14ac:dyDescent="0.25">
      <c r="B71">
        <v>2015</v>
      </c>
      <c r="C71" t="s">
        <v>453</v>
      </c>
      <c r="D71" t="s">
        <v>479</v>
      </c>
      <c r="E71" s="133">
        <v>6700</v>
      </c>
      <c r="F71" s="134">
        <v>0.05</v>
      </c>
    </row>
    <row r="72" spans="2:6" x14ac:dyDescent="0.25">
      <c r="B72">
        <v>2017</v>
      </c>
      <c r="C72" t="s">
        <v>454</v>
      </c>
      <c r="D72" t="s">
        <v>478</v>
      </c>
      <c r="E72" s="133">
        <v>600</v>
      </c>
      <c r="F72" s="134">
        <v>0.27</v>
      </c>
    </row>
  </sheetData>
  <mergeCells count="8">
    <mergeCell ref="B23:I23"/>
    <mergeCell ref="B39:J39"/>
    <mergeCell ref="B11:J11"/>
    <mergeCell ref="B10:J10"/>
    <mergeCell ref="B2:J2"/>
    <mergeCell ref="B3:J3"/>
    <mergeCell ref="B4:J4"/>
    <mergeCell ref="B5:J5"/>
  </mergeCells>
  <hyperlinks>
    <hyperlink ref="D6" r:id="rId4" xr:uid="{5751A95F-7ABC-4B9B-A417-6EA567980361}"/>
  </hyperlinks>
  <pageMargins left="0.7" right="0.7" top="0.75" bottom="0.75" header="0.3" footer="0.3"/>
  <pageSetup orientation="portrait" horizontalDpi="0" verticalDpi="0" r:id="rId5"/>
  <drawing r:id="rId6"/>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E441-F00E-4081-9C8F-80827993E70B}">
  <sheetPr>
    <tabColor theme="5" tint="0.79998168889431442"/>
  </sheetPr>
  <dimension ref="A1:C45"/>
  <sheetViews>
    <sheetView showGridLines="0" workbookViewId="0"/>
  </sheetViews>
  <sheetFormatPr defaultRowHeight="15.75" x14ac:dyDescent="0.25"/>
  <cols>
    <col min="1" max="1" width="2.875" customWidth="1"/>
    <col min="2" max="2" width="81.25" customWidth="1"/>
  </cols>
  <sheetData>
    <row r="1" spans="1:3" ht="31.5" x14ac:dyDescent="0.5">
      <c r="A1" s="2" t="s">
        <v>480</v>
      </c>
    </row>
    <row r="2" spans="1:3" ht="49.5" x14ac:dyDescent="0.25">
      <c r="B2" s="141" t="s">
        <v>481</v>
      </c>
    </row>
    <row r="3" spans="1:3" ht="33" x14ac:dyDescent="0.25">
      <c r="B3" s="141" t="s">
        <v>482</v>
      </c>
    </row>
    <row r="4" spans="1:3" ht="16.5" x14ac:dyDescent="0.25">
      <c r="B4" s="141" t="s">
        <v>483</v>
      </c>
    </row>
    <row r="6" spans="1:3" x14ac:dyDescent="0.25">
      <c r="B6" t="s">
        <v>484</v>
      </c>
    </row>
    <row r="7" spans="1:3" ht="16.5" thickBot="1" x14ac:dyDescent="0.3">
      <c r="C7" t="s">
        <v>485</v>
      </c>
    </row>
    <row r="8" spans="1:3" ht="16.5" thickBot="1" x14ac:dyDescent="0.3">
      <c r="C8" s="43">
        <v>1</v>
      </c>
    </row>
    <row r="9" spans="1:3" ht="16.5" thickBot="1" x14ac:dyDescent="0.3">
      <c r="C9" s="43">
        <v>3</v>
      </c>
    </row>
    <row r="10" spans="1:3" x14ac:dyDescent="0.25">
      <c r="C10" s="21">
        <f>C9+C8</f>
        <v>4</v>
      </c>
    </row>
    <row r="16" spans="1:3" x14ac:dyDescent="0.25">
      <c r="B16" t="s">
        <v>486</v>
      </c>
    </row>
    <row r="21" spans="2:3" ht="16.5" thickBot="1" x14ac:dyDescent="0.3"/>
    <row r="22" spans="2:3" ht="16.5" thickBot="1" x14ac:dyDescent="0.3">
      <c r="B22" t="s">
        <v>487</v>
      </c>
      <c r="C22" s="197">
        <v>0.35</v>
      </c>
    </row>
    <row r="23" spans="2:3" x14ac:dyDescent="0.25">
      <c r="C23" s="198" t="str">
        <f>TEXT(C22,"0%")&amp;" Improvement
Great Job!!"</f>
        <v>35% Improvement
Great Job!!</v>
      </c>
    </row>
    <row r="42" spans="1:2" ht="19.5" x14ac:dyDescent="0.3">
      <c r="A42" s="46" t="s">
        <v>1250</v>
      </c>
    </row>
    <row r="43" spans="1:2" x14ac:dyDescent="0.25">
      <c r="B43" t="s">
        <v>1268</v>
      </c>
    </row>
    <row r="44" spans="1:2" x14ac:dyDescent="0.25">
      <c r="B44" t="s">
        <v>1252</v>
      </c>
    </row>
    <row r="45" spans="1:2" x14ac:dyDescent="0.25">
      <c r="B45" t="s">
        <v>1267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85AE-1BD6-48EE-8AFE-1224EC300285}">
  <sheetPr>
    <tabColor theme="5" tint="0.79998168889431442"/>
  </sheetPr>
  <dimension ref="A1:K42"/>
  <sheetViews>
    <sheetView showGridLines="0" workbookViewId="0"/>
  </sheetViews>
  <sheetFormatPr defaultRowHeight="15.75" x14ac:dyDescent="0.25"/>
  <cols>
    <col min="1" max="1" width="3" customWidth="1"/>
    <col min="2" max="2" width="20.25" customWidth="1"/>
    <col min="3" max="3" width="26.375" customWidth="1"/>
  </cols>
  <sheetData>
    <row r="1" spans="1:11" ht="31.5" x14ac:dyDescent="0.5">
      <c r="A1" s="65" t="s">
        <v>1266</v>
      </c>
    </row>
    <row r="2" spans="1:11" ht="98.25" customHeight="1" x14ac:dyDescent="0.3">
      <c r="A2" s="46"/>
      <c r="B2" s="342" t="s">
        <v>1265</v>
      </c>
      <c r="C2" s="342"/>
      <c r="D2" s="342"/>
      <c r="E2" s="342"/>
      <c r="F2" s="342"/>
      <c r="G2" s="342"/>
      <c r="H2" s="342"/>
      <c r="I2" s="342"/>
      <c r="J2" s="342"/>
    </row>
    <row r="3" spans="1:11" ht="21" x14ac:dyDescent="0.35">
      <c r="A3" s="286" t="s">
        <v>1255</v>
      </c>
    </row>
    <row r="4" spans="1:11" ht="31.5" customHeight="1" x14ac:dyDescent="0.35">
      <c r="A4" s="286"/>
      <c r="B4" s="342" t="s">
        <v>1264</v>
      </c>
      <c r="C4" s="342"/>
      <c r="D4" s="342"/>
      <c r="E4" s="342"/>
      <c r="F4" s="342"/>
      <c r="G4" s="342"/>
      <c r="H4" s="342"/>
      <c r="I4" s="342"/>
      <c r="J4" s="342"/>
    </row>
    <row r="5" spans="1:11" ht="39.75" customHeight="1" x14ac:dyDescent="0.3">
      <c r="A5" s="46"/>
      <c r="B5" s="342" t="s">
        <v>415</v>
      </c>
      <c r="C5" s="342"/>
      <c r="D5" s="342"/>
      <c r="E5" s="342"/>
      <c r="F5" s="342"/>
      <c r="G5" s="342"/>
      <c r="H5" s="342"/>
      <c r="I5" s="342"/>
      <c r="J5" s="342"/>
    </row>
    <row r="6" spans="1:11" ht="20.25" thickBot="1" x14ac:dyDescent="0.35">
      <c r="A6" s="46"/>
      <c r="B6" s="342" t="s">
        <v>1346</v>
      </c>
      <c r="C6" s="342"/>
      <c r="D6" s="342"/>
      <c r="E6" s="342"/>
      <c r="F6" s="342"/>
      <c r="G6" s="342"/>
      <c r="H6" s="342"/>
      <c r="I6" s="342"/>
      <c r="J6" s="342"/>
    </row>
    <row r="7" spans="1:11" ht="16.5" thickBot="1" x14ac:dyDescent="0.3">
      <c r="B7" s="54" t="s">
        <v>416</v>
      </c>
      <c r="C7" s="33" t="s">
        <v>417</v>
      </c>
      <c r="D7" s="53" t="s">
        <v>418</v>
      </c>
      <c r="K7" t="s">
        <v>419</v>
      </c>
    </row>
    <row r="8" spans="1:11" ht="97.5" customHeight="1" x14ac:dyDescent="0.25">
      <c r="B8" s="51">
        <f>MATCH(C7,CountryList,0)</f>
        <v>2</v>
      </c>
      <c r="C8" s="51"/>
      <c r="D8" s="53" t="s">
        <v>420</v>
      </c>
    </row>
    <row r="10" spans="1:11" ht="19.5" x14ac:dyDescent="0.3">
      <c r="A10" s="46"/>
      <c r="B10" s="54" t="s">
        <v>416</v>
      </c>
    </row>
    <row r="11" spans="1:11" x14ac:dyDescent="0.25">
      <c r="B11" s="52" t="s">
        <v>421</v>
      </c>
      <c r="C11" s="52" t="s">
        <v>422</v>
      </c>
    </row>
    <row r="12" spans="1:11" ht="96" customHeight="1" x14ac:dyDescent="0.25">
      <c r="B12" s="40" t="s">
        <v>423</v>
      </c>
    </row>
    <row r="13" spans="1:11" ht="96" customHeight="1" x14ac:dyDescent="0.25">
      <c r="B13" s="40" t="s">
        <v>417</v>
      </c>
    </row>
    <row r="14" spans="1:11" ht="96" customHeight="1" x14ac:dyDescent="0.25">
      <c r="B14" s="40" t="s">
        <v>424</v>
      </c>
    </row>
    <row r="15" spans="1:11" ht="96" customHeight="1" x14ac:dyDescent="0.25">
      <c r="B15" s="40" t="s">
        <v>425</v>
      </c>
    </row>
    <row r="17" spans="1:10" x14ac:dyDescent="0.25">
      <c r="B17" s="40"/>
    </row>
    <row r="18" spans="1:10" ht="19.5" x14ac:dyDescent="0.3">
      <c r="A18" s="46" t="s">
        <v>1256</v>
      </c>
    </row>
    <row r="19" spans="1:10" x14ac:dyDescent="0.25">
      <c r="B19" t="s">
        <v>1253</v>
      </c>
    </row>
    <row r="20" spans="1:10" x14ac:dyDescent="0.25">
      <c r="B20" t="s">
        <v>1252</v>
      </c>
    </row>
    <row r="21" spans="1:10" x14ac:dyDescent="0.25">
      <c r="B21" t="s">
        <v>1263</v>
      </c>
    </row>
    <row r="22" spans="1:10" x14ac:dyDescent="0.25">
      <c r="B22" t="s">
        <v>1254</v>
      </c>
    </row>
    <row r="23" spans="1:10" ht="16.5" thickBot="1" x14ac:dyDescent="0.3"/>
    <row r="24" spans="1:10" x14ac:dyDescent="0.25">
      <c r="B24" s="47" t="s">
        <v>1257</v>
      </c>
      <c r="C24" s="289" t="s">
        <v>1259</v>
      </c>
      <c r="F24" s="47" t="s">
        <v>1148</v>
      </c>
      <c r="G24" s="143">
        <f>MATCH(C24,B27:B29,0)</f>
        <v>2</v>
      </c>
    </row>
    <row r="25" spans="1:10" ht="8.25" customHeight="1" x14ac:dyDescent="0.25">
      <c r="F25" s="47"/>
      <c r="G25" s="143"/>
    </row>
    <row r="26" spans="1:10" ht="82.5" customHeight="1" x14ac:dyDescent="0.25">
      <c r="B26" s="288" t="s">
        <v>1262</v>
      </c>
      <c r="C26" s="290" t="e" cm="1" vm="1">
        <f t="array" ref="C26">INDEX(C27:C29,G24)</f>
        <v>#VALUE!</v>
      </c>
      <c r="D26" s="40" t="s">
        <v>1261</v>
      </c>
    </row>
    <row r="27" spans="1:10" ht="37.5" customHeight="1" x14ac:dyDescent="0.25">
      <c r="B27" s="287" t="s">
        <v>1260</v>
      </c>
      <c r="C27" t="e" vm="2">
        <v>#VALUE!</v>
      </c>
    </row>
    <row r="28" spans="1:10" ht="37.5" customHeight="1" x14ac:dyDescent="0.25">
      <c r="B28" s="287" t="s">
        <v>1259</v>
      </c>
      <c r="C28" t="e" vm="3">
        <v>#VALUE!</v>
      </c>
    </row>
    <row r="29" spans="1:10" ht="37.5" customHeight="1" x14ac:dyDescent="0.25">
      <c r="B29" s="287" t="s">
        <v>1258</v>
      </c>
      <c r="C29" t="e" vm="4">
        <v>#VALUE!</v>
      </c>
    </row>
    <row r="30" spans="1:10" ht="45" customHeight="1" x14ac:dyDescent="0.3">
      <c r="A30" s="46" t="s">
        <v>1143</v>
      </c>
    </row>
    <row r="31" spans="1:10" ht="36" customHeight="1" x14ac:dyDescent="0.25">
      <c r="B31" s="324" t="s">
        <v>1144</v>
      </c>
      <c r="C31" s="324"/>
      <c r="D31" s="324"/>
      <c r="E31" s="324"/>
      <c r="F31" s="324"/>
      <c r="G31" s="324"/>
      <c r="H31" s="324"/>
      <c r="I31" s="324"/>
      <c r="J31" s="324"/>
    </row>
    <row r="32" spans="1:10" x14ac:dyDescent="0.25">
      <c r="B32" s="107" t="s">
        <v>1145</v>
      </c>
    </row>
    <row r="33" spans="2:9" ht="16.5" thickBot="1" x14ac:dyDescent="0.3"/>
    <row r="34" spans="2:9" ht="16.5" thickBot="1" x14ac:dyDescent="0.3">
      <c r="B34" s="47" t="s">
        <v>1146</v>
      </c>
      <c r="C34" s="33" t="s">
        <v>1155</v>
      </c>
      <c r="F34" s="47" t="s">
        <v>1148</v>
      </c>
      <c r="G34" s="143">
        <f>MATCH(C34,B40:B42,0)</f>
        <v>2</v>
      </c>
    </row>
    <row r="35" spans="2:9" x14ac:dyDescent="0.25">
      <c r="F35" s="47" t="s">
        <v>1149</v>
      </c>
      <c r="G35" t="str" cm="1">
        <f t="array" ref="G35">INDEX(C40:C42,G34)</f>
        <v>https://support.content.office.net/en-us/media/926439a2-bc79-4b8b-9205-60892650e5d3.jpg</v>
      </c>
    </row>
    <row r="36" spans="2:9" ht="91.5" customHeight="1" x14ac:dyDescent="0.25">
      <c r="B36" s="279" t="s">
        <v>1150</v>
      </c>
      <c r="C36" s="257" t="s">
        <v>1347</v>
      </c>
      <c r="D36" s="40" t="s">
        <v>1151</v>
      </c>
    </row>
    <row r="37" spans="2:9" x14ac:dyDescent="0.25">
      <c r="B37" s="40" t="s">
        <v>1196</v>
      </c>
      <c r="C37" s="257"/>
      <c r="D37" s="40"/>
    </row>
    <row r="39" spans="2:9" x14ac:dyDescent="0.25">
      <c r="B39" s="256" t="s">
        <v>1152</v>
      </c>
      <c r="C39" s="256" t="s">
        <v>1153</v>
      </c>
      <c r="D39" s="250"/>
      <c r="E39" s="250"/>
      <c r="F39" s="250"/>
      <c r="G39" s="250"/>
      <c r="H39" s="250"/>
      <c r="I39" s="250"/>
    </row>
    <row r="40" spans="2:9" x14ac:dyDescent="0.25">
      <c r="B40" t="s">
        <v>1147</v>
      </c>
      <c r="C40" t="s">
        <v>1154</v>
      </c>
    </row>
    <row r="41" spans="2:9" x14ac:dyDescent="0.25">
      <c r="B41" t="s">
        <v>1155</v>
      </c>
      <c r="C41" t="s">
        <v>1156</v>
      </c>
    </row>
    <row r="42" spans="2:9" x14ac:dyDescent="0.25">
      <c r="B42" t="s">
        <v>1157</v>
      </c>
      <c r="C42" t="s">
        <v>1158</v>
      </c>
    </row>
  </sheetData>
  <mergeCells count="5">
    <mergeCell ref="B5:J5"/>
    <mergeCell ref="B2:J2"/>
    <mergeCell ref="B6:J6"/>
    <mergeCell ref="B31:J31"/>
    <mergeCell ref="B4:J4"/>
  </mergeCells>
  <dataValidations count="3">
    <dataValidation type="list" allowBlank="1" showInputMessage="1" showErrorMessage="1" sqref="C7" xr:uid="{D64AC68E-FE0E-4045-9CC5-2C0FF71E984E}">
      <formula1>CountryList</formula1>
    </dataValidation>
    <dataValidation type="list" allowBlank="1" showInputMessage="1" showErrorMessage="1" sqref="C34" xr:uid="{63068342-695D-4AC2-A89B-ED236717C4D5}">
      <formula1>$B$40:$B$42</formula1>
    </dataValidation>
    <dataValidation type="list" allowBlank="1" showInputMessage="1" showErrorMessage="1" sqref="C24" xr:uid="{7413B24B-31F8-485F-93CF-D78986F13FA4}">
      <formula1>$B$27:$B$29</formula1>
    </dataValidation>
  </dataValidations>
  <hyperlinks>
    <hyperlink ref="B32" r:id="rId1" display="https://support.microsoft.com/en-us/office/image-function-7e112975-5e52-4f2a-b9da-1d913d51f5d5?ns=excel&amp;version=90&amp;syslcid=1033&amp;uilcid=1033&amp;appver=zxl900&amp;helpid=xlmain11.chm60712&amp;ui=en-us&amp;rs=en-us&amp;ad=us" xr:uid="{490F1EC1-CC11-4CEC-BBE6-B3700B936AAD}"/>
  </hyperlinks>
  <pageMargins left="0.7" right="0.7" top="0.75" bottom="0.75" header="0.3" footer="0.3"/>
  <pageSetup orientation="portrait" horizontalDpi="0" verticalDpi="0"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132C6-3A89-4E5C-8EAE-76DBC9BA73A6}">
  <sheetPr codeName="Sheet6">
    <tabColor theme="5" tint="0.79998168889431442"/>
  </sheetPr>
  <dimension ref="A1:N37"/>
  <sheetViews>
    <sheetView showGridLines="0" workbookViewId="0"/>
  </sheetViews>
  <sheetFormatPr defaultRowHeight="15.75" x14ac:dyDescent="0.25"/>
  <cols>
    <col min="1" max="1" width="3" customWidth="1"/>
    <col min="2" max="2" width="19.5" customWidth="1"/>
    <col min="3" max="3" width="38.125" customWidth="1"/>
    <col min="4" max="4" width="69.625" customWidth="1"/>
    <col min="5" max="5" width="13.25" customWidth="1"/>
    <col min="6" max="6" width="10.25" bestFit="1" customWidth="1"/>
  </cols>
  <sheetData>
    <row r="1" spans="1:14" ht="31.5" x14ac:dyDescent="0.5">
      <c r="A1" s="65" t="s">
        <v>114</v>
      </c>
    </row>
    <row r="2" spans="1:14" ht="22.5" customHeight="1" x14ac:dyDescent="0.25">
      <c r="B2" s="377" t="s">
        <v>518</v>
      </c>
      <c r="C2" s="377"/>
      <c r="D2" s="377"/>
      <c r="E2" s="106"/>
      <c r="F2" s="106"/>
      <c r="G2" s="106"/>
      <c r="H2" s="106"/>
      <c r="I2" s="106"/>
      <c r="J2" s="106"/>
      <c r="K2" s="106"/>
      <c r="L2" s="106"/>
      <c r="M2" s="106"/>
      <c r="N2" s="106"/>
    </row>
    <row r="3" spans="1:14" ht="213" customHeight="1" x14ac:dyDescent="0.25">
      <c r="B3" s="324" t="s">
        <v>1183</v>
      </c>
      <c r="C3" s="324"/>
      <c r="D3" s="324"/>
      <c r="E3" s="11"/>
      <c r="F3" s="11"/>
      <c r="G3" s="11"/>
      <c r="H3" s="11"/>
      <c r="I3" s="11"/>
      <c r="J3" s="11"/>
      <c r="K3" s="11"/>
      <c r="L3" s="11"/>
    </row>
    <row r="4" spans="1:14" ht="19.5" x14ac:dyDescent="0.3">
      <c r="A4" s="46" t="s">
        <v>519</v>
      </c>
    </row>
    <row r="5" spans="1:14" x14ac:dyDescent="0.25">
      <c r="B5" t="s">
        <v>520</v>
      </c>
    </row>
    <row r="6" spans="1:14" ht="31.5" customHeight="1" x14ac:dyDescent="0.25">
      <c r="B6" s="374" t="s">
        <v>521</v>
      </c>
      <c r="C6" s="375"/>
      <c r="D6" s="376"/>
    </row>
    <row r="8" spans="1:14" ht="19.5" x14ac:dyDescent="0.3">
      <c r="A8" s="46" t="s">
        <v>522</v>
      </c>
    </row>
    <row r="9" spans="1:14" x14ac:dyDescent="0.25">
      <c r="B9" t="s">
        <v>523</v>
      </c>
    </row>
    <row r="10" spans="1:14" ht="31.5" customHeight="1" x14ac:dyDescent="0.25">
      <c r="B10" s="374" t="s">
        <v>380</v>
      </c>
      <c r="C10" s="375"/>
      <c r="D10" s="376"/>
    </row>
    <row r="12" spans="1:14" ht="19.5" x14ac:dyDescent="0.3">
      <c r="A12" s="46" t="s">
        <v>524</v>
      </c>
    </row>
    <row r="13" spans="1:14" ht="19.5" x14ac:dyDescent="0.3">
      <c r="A13" s="46"/>
      <c r="B13" t="s">
        <v>525</v>
      </c>
    </row>
    <row r="14" spans="1:14" ht="30" customHeight="1" x14ac:dyDescent="0.25">
      <c r="B14" s="374" t="s">
        <v>1339</v>
      </c>
      <c r="C14" s="375"/>
      <c r="D14" s="376"/>
    </row>
    <row r="15" spans="1:14" ht="19.5" customHeight="1" x14ac:dyDescent="0.25">
      <c r="B15" t="s">
        <v>1340</v>
      </c>
    </row>
    <row r="17" spans="1:5" ht="19.5" x14ac:dyDescent="0.3">
      <c r="A17" s="46" t="s">
        <v>526</v>
      </c>
    </row>
    <row r="18" spans="1:5" ht="24.75" customHeight="1" thickBot="1" x14ac:dyDescent="0.3">
      <c r="B18" s="344" t="s">
        <v>527</v>
      </c>
      <c r="C18" s="344"/>
      <c r="D18" s="344"/>
    </row>
    <row r="19" spans="1:5" ht="32.25" thickBot="1" x14ac:dyDescent="0.3">
      <c r="B19" s="110" t="s">
        <v>528</v>
      </c>
      <c r="C19" s="43" t="s">
        <v>529</v>
      </c>
    </row>
    <row r="20" spans="1:5" ht="9" customHeight="1" x14ac:dyDescent="0.25"/>
    <row r="21" spans="1:5" x14ac:dyDescent="0.25">
      <c r="B21" t="s">
        <v>530</v>
      </c>
    </row>
    <row r="22" spans="1:5" ht="90.75" customHeight="1" x14ac:dyDescent="0.25">
      <c r="B22" s="374" t="str">
        <f>"&lt;h2&gt;"&amp;C19&amp;"&lt;/h2&gt;&lt;img src="&amp;CHAR(34)&amp;C37&amp;CHAR(34)&amp;" width="&amp;CHAR(34)&amp;"640"&amp;CHAR(34)&amp;" height="&amp;CHAR(34)&amp;"342"&amp;CHAR(34)&amp;" alt="&amp;CHAR(34)&amp;C19&amp;CHAR(34)&amp;"&gt;&lt;p&gt;"&amp;D37&amp;"&lt;/p&gt;&lt;/br&gt;&lt;a href="&amp;CHAR(34)&amp;E37&amp;CHAR(34)&amp;"&gt;Learn More&lt;/a&gt;"</f>
        <v>&lt;h2&gt;Ferrari 250 GTO&lt;/h2&gt;&lt;img src="https://upload.wikimedia.org/wikipedia/commons/6/65/01-bonhams-ferrari-monterey-2014-1.jpg" width="640" height="342" alt="Ferrari 250 GTO"&gt;&lt;p&gt;The Ferrari 250 GTO is a GT car produced by Ferrari from 1962 to 1964 for homologation into the FIA's Group 3 Grand Touring Car category. It was powered by Ferrari's Tipo 168/62 Colombo V12 engine.&lt;/p&gt;&lt;/br&gt;&lt;a href="https://en.wikipedia.org/wiki/Ferrari_250_GTO"&gt;Learn More&lt;/a&gt;</v>
      </c>
      <c r="C22" s="375"/>
      <c r="D22" s="376"/>
    </row>
    <row r="24" spans="1:5" x14ac:dyDescent="0.25">
      <c r="B24" s="109" t="s">
        <v>531</v>
      </c>
    </row>
    <row r="25" spans="1:5" x14ac:dyDescent="0.25">
      <c r="B25" t="s">
        <v>532</v>
      </c>
      <c r="C25" t="s">
        <v>533</v>
      </c>
      <c r="D25" t="s">
        <v>85</v>
      </c>
      <c r="E25" t="s">
        <v>534</v>
      </c>
    </row>
    <row r="26" spans="1:5" x14ac:dyDescent="0.25">
      <c r="B26" t="s">
        <v>529</v>
      </c>
      <c r="C26" s="107" t="s">
        <v>535</v>
      </c>
      <c r="D26" t="s">
        <v>536</v>
      </c>
      <c r="E26" t="s">
        <v>537</v>
      </c>
    </row>
    <row r="27" spans="1:5" x14ac:dyDescent="0.25">
      <c r="B27" t="s">
        <v>538</v>
      </c>
      <c r="C27" t="s">
        <v>539</v>
      </c>
      <c r="D27" t="s">
        <v>540</v>
      </c>
      <c r="E27" t="s">
        <v>541</v>
      </c>
    </row>
    <row r="28" spans="1:5" x14ac:dyDescent="0.25">
      <c r="B28" t="s">
        <v>542</v>
      </c>
      <c r="C28" s="107" t="s">
        <v>543</v>
      </c>
      <c r="D28" t="s">
        <v>544</v>
      </c>
      <c r="E28" t="s">
        <v>545</v>
      </c>
    </row>
    <row r="29" spans="1:5" x14ac:dyDescent="0.25">
      <c r="B29" t="s">
        <v>546</v>
      </c>
      <c r="C29" s="107" t="s">
        <v>547</v>
      </c>
      <c r="D29" t="s">
        <v>548</v>
      </c>
      <c r="E29" t="s">
        <v>549</v>
      </c>
    </row>
    <row r="30" spans="1:5" x14ac:dyDescent="0.25">
      <c r="B30" t="s">
        <v>550</v>
      </c>
      <c r="C30" s="107" t="s">
        <v>551</v>
      </c>
      <c r="D30" t="s">
        <v>552</v>
      </c>
      <c r="E30" t="s">
        <v>553</v>
      </c>
    </row>
    <row r="31" spans="1:5" x14ac:dyDescent="0.25">
      <c r="B31" t="s">
        <v>554</v>
      </c>
      <c r="C31" s="107" t="s">
        <v>555</v>
      </c>
      <c r="D31" t="s">
        <v>556</v>
      </c>
      <c r="E31" t="s">
        <v>557</v>
      </c>
    </row>
    <row r="32" spans="1:5" x14ac:dyDescent="0.25">
      <c r="B32" t="s">
        <v>558</v>
      </c>
      <c r="C32" s="107" t="s">
        <v>559</v>
      </c>
      <c r="D32" t="s">
        <v>560</v>
      </c>
      <c r="E32" t="s">
        <v>561</v>
      </c>
    </row>
    <row r="33" spans="2:5" x14ac:dyDescent="0.25">
      <c r="B33" t="s">
        <v>562</v>
      </c>
      <c r="C33" s="107" t="s">
        <v>563</v>
      </c>
      <c r="D33" t="s">
        <v>564</v>
      </c>
      <c r="E33" t="s">
        <v>565</v>
      </c>
    </row>
    <row r="34" spans="2:5" x14ac:dyDescent="0.25">
      <c r="B34" t="s">
        <v>566</v>
      </c>
      <c r="C34" s="107" t="s">
        <v>567</v>
      </c>
      <c r="D34" t="s">
        <v>568</v>
      </c>
      <c r="E34" t="s">
        <v>569</v>
      </c>
    </row>
    <row r="35" spans="2:5" x14ac:dyDescent="0.25">
      <c r="B35" t="s">
        <v>570</v>
      </c>
      <c r="C35" s="107" t="s">
        <v>571</v>
      </c>
      <c r="D35" t="s">
        <v>572</v>
      </c>
      <c r="E35" t="s">
        <v>573</v>
      </c>
    </row>
    <row r="36" spans="2:5" ht="16.5" thickBot="1" x14ac:dyDescent="0.3">
      <c r="B36" t="s">
        <v>574</v>
      </c>
    </row>
    <row r="37" spans="2:5" ht="16.5" thickTop="1" x14ac:dyDescent="0.25">
      <c r="B37" s="108">
        <f>MATCH($C$19,B26:B35,0)</f>
        <v>1</v>
      </c>
      <c r="C37" s="108" t="str">
        <f>INDEX(C26:C35,$B$37)</f>
        <v>https://upload.wikimedia.org/wikipedia/commons/6/65/01-bonhams-ferrari-monterey-2014-1.jpg</v>
      </c>
      <c r="D37" s="108" t="str">
        <f>INDEX(D26:D35,$B$37)</f>
        <v>The Ferrari 250 GTO is a GT car produced by Ferrari from 1962 to 1964 for homologation into the FIA's Group 3 Grand Touring Car category. It was powered by Ferrari's Tipo 168/62 Colombo V12 engine.</v>
      </c>
      <c r="E37" s="108" t="str">
        <f>INDEX(E26:E35,$B$37)</f>
        <v>https://en.wikipedia.org/wiki/Ferrari_250_GTO</v>
      </c>
    </row>
  </sheetData>
  <mergeCells count="7">
    <mergeCell ref="B6:D6"/>
    <mergeCell ref="B22:D22"/>
    <mergeCell ref="B10:D10"/>
    <mergeCell ref="B18:D18"/>
    <mergeCell ref="B2:D2"/>
    <mergeCell ref="B14:D14"/>
    <mergeCell ref="B3:D3"/>
  </mergeCells>
  <dataValidations count="1">
    <dataValidation type="list" allowBlank="1" showInputMessage="1" showErrorMessage="1" sqref="C19" xr:uid="{F9CCA985-5999-4CC5-AE94-2F7A76F30B9D}">
      <formula1>$B$26:$B$35</formula1>
    </dataValidation>
  </dataValidations>
  <hyperlinks>
    <hyperlink ref="C31" r:id="rId1" xr:uid="{964F2E40-9E01-485B-BA9A-C1508D5E702A}"/>
    <hyperlink ref="C29" r:id="rId2" xr:uid="{A976CAE3-A027-4E46-BA60-7CD1A9054604}"/>
    <hyperlink ref="C30" r:id="rId3" xr:uid="{12F04B4F-88BD-4422-AC8A-45202B06E1F5}"/>
    <hyperlink ref="C32" r:id="rId4" xr:uid="{6A33B8E6-8B47-4A15-9C1E-95610A9789CE}"/>
    <hyperlink ref="C33" r:id="rId5" xr:uid="{1410E946-A814-494D-9CBF-3A2EF93E5164}"/>
    <hyperlink ref="C34" r:id="rId6" xr:uid="{8FB3232E-3287-4C8C-8110-86EC12143DEB}"/>
    <hyperlink ref="C35" r:id="rId7" xr:uid="{B36361DD-B1C4-4737-BB8B-049A53CB5B5F}"/>
    <hyperlink ref="C26" r:id="rId8" xr:uid="{4D160591-C9E9-466E-9803-4A0A5DFEFC3F}"/>
    <hyperlink ref="C28" r:id="rId9" xr:uid="{6119CFF0-616D-4BB6-8302-7850E0C88346}"/>
  </hyperlinks>
  <pageMargins left="0.7" right="0.7" top="0.75" bottom="0.75" header="0.3" footer="0.3"/>
  <pageSetup orientation="portrait" horizontalDpi="0" verticalDpi="0" r:id="rId10"/>
  <tableParts count="1">
    <tablePart r:id="rId1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95FC-CF01-4FA4-AB30-FCE62B19DC8E}">
  <sheetPr codeName="Sheet41"/>
  <dimension ref="A1:I54"/>
  <sheetViews>
    <sheetView showGridLines="0" workbookViewId="0"/>
  </sheetViews>
  <sheetFormatPr defaultRowHeight="15.75" x14ac:dyDescent="0.25"/>
  <cols>
    <col min="1" max="2" width="3.25" customWidth="1"/>
    <col min="3" max="3" width="22.875" customWidth="1"/>
    <col min="4" max="4" width="25" customWidth="1"/>
    <col min="5" max="5" width="56.25" customWidth="1"/>
    <col min="6" max="8" width="10.5" customWidth="1"/>
  </cols>
  <sheetData>
    <row r="1" spans="1:9" ht="31.5" x14ac:dyDescent="0.5">
      <c r="A1" s="65" t="s">
        <v>575</v>
      </c>
      <c r="B1" s="98"/>
    </row>
    <row r="2" spans="1:9" ht="27" customHeight="1" x14ac:dyDescent="0.35">
      <c r="A2" s="98"/>
      <c r="B2" s="98"/>
      <c r="C2" s="97" t="s">
        <v>576</v>
      </c>
    </row>
    <row r="3" spans="1:9" ht="19.5" x14ac:dyDescent="0.3">
      <c r="A3" s="46" t="s">
        <v>577</v>
      </c>
      <c r="B3" s="92"/>
    </row>
    <row r="4" spans="1:9" ht="51" customHeight="1" x14ac:dyDescent="0.25">
      <c r="C4" s="378" t="s">
        <v>578</v>
      </c>
      <c r="D4" s="378"/>
      <c r="E4" s="378"/>
    </row>
    <row r="5" spans="1:9" ht="78" customHeight="1" x14ac:dyDescent="0.25">
      <c r="C5" s="378" t="s">
        <v>579</v>
      </c>
      <c r="D5" s="378"/>
      <c r="E5" s="378"/>
    </row>
    <row r="6" spans="1:9" x14ac:dyDescent="0.25">
      <c r="C6" s="378" t="s">
        <v>580</v>
      </c>
      <c r="D6" s="378"/>
      <c r="E6" s="378"/>
    </row>
    <row r="7" spans="1:9" ht="19.5" x14ac:dyDescent="0.3">
      <c r="A7" s="46" t="s">
        <v>581</v>
      </c>
      <c r="B7" s="92"/>
      <c r="C7" s="91"/>
      <c r="D7" s="91"/>
      <c r="E7" s="91"/>
    </row>
    <row r="8" spans="1:9" ht="19.5" x14ac:dyDescent="0.3">
      <c r="A8" s="46"/>
      <c r="B8" s="92"/>
      <c r="C8" s="379" t="s">
        <v>582</v>
      </c>
      <c r="D8" s="379"/>
      <c r="E8" s="379"/>
    </row>
    <row r="9" spans="1:9" ht="19.5" x14ac:dyDescent="0.3">
      <c r="A9" s="46"/>
      <c r="B9" s="92"/>
      <c r="C9" s="379" t="s">
        <v>583</v>
      </c>
      <c r="D9" s="379"/>
      <c r="E9" s="379"/>
    </row>
    <row r="10" spans="1:9" ht="17.25" x14ac:dyDescent="0.3">
      <c r="B10" s="19" t="s">
        <v>584</v>
      </c>
      <c r="D10" s="10"/>
    </row>
    <row r="11" spans="1:9" ht="53.25" customHeight="1" x14ac:dyDescent="0.25">
      <c r="A11" s="92"/>
      <c r="B11" s="92"/>
      <c r="C11" s="378" t="s">
        <v>585</v>
      </c>
      <c r="D11" s="378"/>
      <c r="E11" s="378"/>
    </row>
    <row r="12" spans="1:9" x14ac:dyDescent="0.25">
      <c r="A12" s="92"/>
      <c r="B12" s="92"/>
      <c r="C12" s="96" t="s">
        <v>192</v>
      </c>
      <c r="D12" s="91"/>
      <c r="E12" s="91"/>
    </row>
    <row r="13" spans="1:9" ht="16.5" thickBot="1" x14ac:dyDescent="0.3">
      <c r="A13" s="92"/>
      <c r="B13" s="92"/>
      <c r="C13" s="379" t="s">
        <v>586</v>
      </c>
      <c r="D13" s="379"/>
      <c r="E13" s="379"/>
    </row>
    <row r="14" spans="1:9" ht="16.5" thickBot="1" x14ac:dyDescent="0.3">
      <c r="A14" s="92"/>
      <c r="B14" s="92"/>
      <c r="C14" t="s">
        <v>587</v>
      </c>
      <c r="D14" s="14" t="s">
        <v>588</v>
      </c>
      <c r="E14" s="91"/>
    </row>
    <row r="15" spans="1:9" ht="13.5" customHeight="1" thickBot="1" x14ac:dyDescent="0.3">
      <c r="A15" s="92"/>
      <c r="C15" s="91"/>
      <c r="D15" s="91"/>
      <c r="E15" s="91"/>
      <c r="F15" s="195" t="s">
        <v>589</v>
      </c>
      <c r="I15" t="s">
        <v>590</v>
      </c>
    </row>
    <row r="16" spans="1:9" ht="32.25" thickBot="1" x14ac:dyDescent="0.3">
      <c r="A16" s="92"/>
      <c r="C16" s="32" t="s">
        <v>591</v>
      </c>
      <c r="D16" s="32" t="s">
        <v>592</v>
      </c>
      <c r="E16" s="91"/>
      <c r="F16" s="95" t="s">
        <v>593</v>
      </c>
      <c r="G16" s="95" t="s">
        <v>594</v>
      </c>
      <c r="H16" s="95" t="s">
        <v>588</v>
      </c>
      <c r="I16" s="95">
        <f>MATCH(D14,F16:H16,0)</f>
        <v>3</v>
      </c>
    </row>
    <row r="17" spans="1:9" x14ac:dyDescent="0.25">
      <c r="C17" s="17" t="s">
        <v>595</v>
      </c>
      <c r="D17" s="184" t="b">
        <f>IF(I17=1,TRUE,FALSE)</f>
        <v>0</v>
      </c>
      <c r="F17" s="94">
        <v>1</v>
      </c>
      <c r="G17" s="94">
        <v>1</v>
      </c>
      <c r="H17" s="94"/>
      <c r="I17" s="94">
        <f t="shared" ref="I17:I25" si="0">INDEX(F17:H17,$I$16)</f>
        <v>0</v>
      </c>
    </row>
    <row r="18" spans="1:9" x14ac:dyDescent="0.25">
      <c r="C18" s="17" t="s">
        <v>596</v>
      </c>
      <c r="D18" s="184" t="b">
        <f t="shared" ref="D18:D25" si="1">IF(I18=1,TRUE,FALSE)</f>
        <v>0</v>
      </c>
      <c r="F18" s="94"/>
      <c r="G18" s="94">
        <v>1</v>
      </c>
      <c r="H18" s="94"/>
      <c r="I18" s="94">
        <f t="shared" si="0"/>
        <v>0</v>
      </c>
    </row>
    <row r="19" spans="1:9" x14ac:dyDescent="0.25">
      <c r="C19" s="17" t="s">
        <v>597</v>
      </c>
      <c r="D19" s="184" t="b">
        <f t="shared" si="1"/>
        <v>0</v>
      </c>
      <c r="F19" s="94"/>
      <c r="G19" s="94">
        <v>1</v>
      </c>
      <c r="H19" s="94"/>
      <c r="I19" s="94">
        <f t="shared" si="0"/>
        <v>0</v>
      </c>
    </row>
    <row r="20" spans="1:9" x14ac:dyDescent="0.25">
      <c r="C20" s="17" t="s">
        <v>598</v>
      </c>
      <c r="D20" s="184" t="b">
        <f t="shared" si="1"/>
        <v>0</v>
      </c>
      <c r="F20" s="94">
        <v>1</v>
      </c>
      <c r="G20" s="94"/>
      <c r="H20" s="94"/>
      <c r="I20" s="94">
        <f t="shared" si="0"/>
        <v>0</v>
      </c>
    </row>
    <row r="21" spans="1:9" x14ac:dyDescent="0.25">
      <c r="C21" s="17" t="s">
        <v>599</v>
      </c>
      <c r="D21" s="184" t="b">
        <f t="shared" si="1"/>
        <v>0</v>
      </c>
      <c r="F21" s="94"/>
      <c r="G21" s="94">
        <v>1</v>
      </c>
      <c r="H21" s="94"/>
      <c r="I21" s="94">
        <f t="shared" si="0"/>
        <v>0</v>
      </c>
    </row>
    <row r="22" spans="1:9" x14ac:dyDescent="0.25">
      <c r="C22" s="17" t="s">
        <v>600</v>
      </c>
      <c r="D22" s="184" t="b">
        <f t="shared" si="1"/>
        <v>0</v>
      </c>
      <c r="F22" s="94"/>
      <c r="G22" s="94">
        <v>1</v>
      </c>
      <c r="H22" s="94"/>
      <c r="I22" s="94">
        <f t="shared" si="0"/>
        <v>0</v>
      </c>
    </row>
    <row r="23" spans="1:9" x14ac:dyDescent="0.25">
      <c r="C23" s="303" t="s">
        <v>601</v>
      </c>
      <c r="D23" s="184" t="b">
        <f t="shared" ref="D23:D24" si="2">IF(I23=1,TRUE,FALSE)</f>
        <v>0</v>
      </c>
      <c r="E23" s="37" t="s">
        <v>602</v>
      </c>
      <c r="F23" s="94">
        <v>1</v>
      </c>
      <c r="G23" s="94">
        <v>1</v>
      </c>
      <c r="H23" s="94"/>
      <c r="I23" s="94">
        <f t="shared" ref="I23:I24" si="3">INDEX(F23:H23,$I$16)</f>
        <v>0</v>
      </c>
    </row>
    <row r="24" spans="1:9" x14ac:dyDescent="0.25">
      <c r="C24" s="303" t="s">
        <v>603</v>
      </c>
      <c r="D24" s="184" t="b">
        <f t="shared" si="2"/>
        <v>0</v>
      </c>
      <c r="E24" s="37" t="s">
        <v>602</v>
      </c>
      <c r="F24" s="94"/>
      <c r="G24" s="94">
        <v>1</v>
      </c>
      <c r="H24" s="94"/>
      <c r="I24" s="94">
        <f t="shared" si="3"/>
        <v>0</v>
      </c>
    </row>
    <row r="25" spans="1:9" x14ac:dyDescent="0.25">
      <c r="C25" s="17" t="s">
        <v>604</v>
      </c>
      <c r="D25" s="184" t="b">
        <f t="shared" si="1"/>
        <v>0</v>
      </c>
      <c r="F25" s="94">
        <v>1</v>
      </c>
      <c r="G25" s="94"/>
      <c r="H25" s="94"/>
      <c r="I25" s="94">
        <f t="shared" si="0"/>
        <v>0</v>
      </c>
    </row>
    <row r="26" spans="1:9" x14ac:dyDescent="0.25">
      <c r="D26" s="10"/>
    </row>
    <row r="27" spans="1:9" ht="17.25" x14ac:dyDescent="0.3">
      <c r="B27" s="19" t="s">
        <v>605</v>
      </c>
      <c r="D27" s="10"/>
    </row>
    <row r="28" spans="1:9" ht="33.75" customHeight="1" x14ac:dyDescent="0.25">
      <c r="A28" s="92"/>
      <c r="B28" s="92"/>
      <c r="C28" s="378" t="s">
        <v>606</v>
      </c>
      <c r="D28" s="378"/>
      <c r="E28" s="378"/>
    </row>
    <row r="29" spans="1:9" ht="26.25" customHeight="1" x14ac:dyDescent="0.25">
      <c r="A29" s="92"/>
      <c r="B29" s="92"/>
      <c r="C29" s="378" t="s">
        <v>607</v>
      </c>
      <c r="D29" s="378"/>
      <c r="E29" s="378"/>
    </row>
    <row r="30" spans="1:9" ht="28.5" customHeight="1" x14ac:dyDescent="0.25">
      <c r="A30" s="92"/>
      <c r="B30" s="92"/>
      <c r="C30" s="378" t="s">
        <v>608</v>
      </c>
      <c r="D30" s="378"/>
      <c r="E30" s="378"/>
    </row>
    <row r="31" spans="1:9" ht="24.75" customHeight="1" thickBot="1" x14ac:dyDescent="0.3">
      <c r="A31" s="92"/>
      <c r="C31" s="96" t="s">
        <v>192</v>
      </c>
      <c r="D31" s="91"/>
      <c r="E31" s="91"/>
    </row>
    <row r="32" spans="1:9" ht="15" customHeight="1" thickBot="1" x14ac:dyDescent="0.3">
      <c r="C32" t="s">
        <v>587</v>
      </c>
      <c r="D32" s="14" t="s">
        <v>588</v>
      </c>
    </row>
    <row r="33" spans="1:9" ht="6" customHeight="1" x14ac:dyDescent="0.25"/>
    <row r="34" spans="1:9" x14ac:dyDescent="0.25">
      <c r="C34" s="243" t="s">
        <v>609</v>
      </c>
    </row>
    <row r="35" spans="1:9" ht="31.5" x14ac:dyDescent="0.25">
      <c r="C35" s="11" t="s">
        <v>610</v>
      </c>
      <c r="D35" s="11" t="s">
        <v>611</v>
      </c>
      <c r="F35" s="95" t="s">
        <v>593</v>
      </c>
      <c r="G35" s="95" t="s">
        <v>594</v>
      </c>
      <c r="H35" s="95" t="s">
        <v>588</v>
      </c>
      <c r="I35" s="95">
        <f>MATCH(Scenario,F35:H35,0)</f>
        <v>3</v>
      </c>
    </row>
    <row r="36" spans="1:9" x14ac:dyDescent="0.25">
      <c r="C36" t="s">
        <v>612</v>
      </c>
      <c r="D36" t="str">
        <f>IF(I36=1,"Delete","")</f>
        <v/>
      </c>
      <c r="F36" s="94">
        <v>1</v>
      </c>
      <c r="G36" s="94">
        <v>1</v>
      </c>
      <c r="H36" s="94"/>
      <c r="I36" s="94">
        <f t="shared" ref="I36:I44" si="4">INDEX(F36:H36,$I$35)</f>
        <v>0</v>
      </c>
    </row>
    <row r="37" spans="1:9" x14ac:dyDescent="0.25">
      <c r="C37" s="243" t="s">
        <v>613</v>
      </c>
      <c r="D37" t="str">
        <f t="shared" ref="D37:D44" si="5">IF(I37=1,"Delete","")</f>
        <v/>
      </c>
      <c r="F37" s="94"/>
      <c r="G37" s="94">
        <v>1</v>
      </c>
      <c r="H37" s="94"/>
      <c r="I37" s="94">
        <f t="shared" si="4"/>
        <v>0</v>
      </c>
    </row>
    <row r="38" spans="1:9" x14ac:dyDescent="0.25">
      <c r="C38" t="s">
        <v>614</v>
      </c>
      <c r="D38" t="str">
        <f t="shared" si="5"/>
        <v/>
      </c>
      <c r="F38" s="94"/>
      <c r="G38" s="94">
        <v>1</v>
      </c>
      <c r="H38" s="94"/>
      <c r="I38" s="94">
        <f t="shared" si="4"/>
        <v>0</v>
      </c>
    </row>
    <row r="39" spans="1:9" x14ac:dyDescent="0.25">
      <c r="C39" t="s">
        <v>615</v>
      </c>
      <c r="D39" t="str">
        <f t="shared" si="5"/>
        <v/>
      </c>
      <c r="F39" s="94">
        <v>1</v>
      </c>
      <c r="G39" s="94"/>
      <c r="H39" s="94"/>
      <c r="I39" s="94">
        <f t="shared" si="4"/>
        <v>0</v>
      </c>
    </row>
    <row r="40" spans="1:9" x14ac:dyDescent="0.25">
      <c r="C40" t="s">
        <v>616</v>
      </c>
      <c r="D40" t="str">
        <f t="shared" si="5"/>
        <v/>
      </c>
      <c r="F40" s="94"/>
      <c r="G40" s="94">
        <v>1</v>
      </c>
      <c r="H40" s="94"/>
      <c r="I40" s="94">
        <f t="shared" si="4"/>
        <v>0</v>
      </c>
    </row>
    <row r="41" spans="1:9" x14ac:dyDescent="0.25">
      <c r="C41" t="s">
        <v>617</v>
      </c>
      <c r="D41" t="str">
        <f t="shared" si="5"/>
        <v/>
      </c>
      <c r="F41" s="94"/>
      <c r="G41" s="94">
        <v>1</v>
      </c>
      <c r="H41" s="94"/>
      <c r="I41" s="94">
        <f t="shared" si="4"/>
        <v>0</v>
      </c>
    </row>
    <row r="42" spans="1:9" x14ac:dyDescent="0.25">
      <c r="C42" t="s">
        <v>618</v>
      </c>
      <c r="D42" t="str">
        <f t="shared" si="5"/>
        <v/>
      </c>
      <c r="F42" s="94">
        <v>1</v>
      </c>
      <c r="G42" s="94"/>
      <c r="H42" s="94"/>
      <c r="I42" s="94">
        <f t="shared" si="4"/>
        <v>0</v>
      </c>
    </row>
    <row r="43" spans="1:9" x14ac:dyDescent="0.25">
      <c r="D43" t="str">
        <f t="shared" si="5"/>
        <v/>
      </c>
      <c r="F43" s="94"/>
      <c r="G43" s="94"/>
      <c r="H43" s="94"/>
      <c r="I43" s="94">
        <f t="shared" si="4"/>
        <v>0</v>
      </c>
    </row>
    <row r="44" spans="1:9" x14ac:dyDescent="0.25">
      <c r="D44" t="str">
        <f t="shared" si="5"/>
        <v/>
      </c>
      <c r="F44" s="94"/>
      <c r="G44" s="94"/>
      <c r="H44" s="94"/>
      <c r="I44" s="94">
        <f t="shared" si="4"/>
        <v>0</v>
      </c>
    </row>
    <row r="46" spans="1:9" ht="19.5" x14ac:dyDescent="0.3">
      <c r="A46" s="46" t="s">
        <v>619</v>
      </c>
      <c r="B46" s="92"/>
      <c r="C46" s="91"/>
      <c r="D46" s="91"/>
      <c r="E46" s="91"/>
    </row>
    <row r="47" spans="1:9" x14ac:dyDescent="0.25">
      <c r="A47" s="92"/>
      <c r="B47" s="92"/>
      <c r="C47" s="379" t="s">
        <v>620</v>
      </c>
      <c r="D47" s="379"/>
      <c r="E47" s="379"/>
    </row>
    <row r="48" spans="1:9" x14ac:dyDescent="0.25">
      <c r="C48" s="379" t="s">
        <v>621</v>
      </c>
      <c r="D48" s="379"/>
      <c r="E48" s="379"/>
    </row>
    <row r="49" spans="1:5" ht="20.25" customHeight="1" x14ac:dyDescent="0.25">
      <c r="A49" s="92"/>
      <c r="B49" s="92"/>
      <c r="C49" s="379" t="s">
        <v>622</v>
      </c>
      <c r="D49" s="379"/>
      <c r="E49" s="379"/>
    </row>
    <row r="50" spans="1:5" ht="15" customHeight="1" x14ac:dyDescent="0.25"/>
    <row r="51" spans="1:5" ht="29.25" customHeight="1" x14ac:dyDescent="0.3">
      <c r="A51" s="46" t="s">
        <v>623</v>
      </c>
      <c r="B51" s="92"/>
      <c r="C51" s="91"/>
      <c r="D51" s="91"/>
      <c r="E51" s="91"/>
    </row>
    <row r="52" spans="1:5" ht="24" customHeight="1" x14ac:dyDescent="0.25">
      <c r="C52" s="379" t="s">
        <v>624</v>
      </c>
      <c r="D52" s="379"/>
      <c r="E52" s="93" t="s">
        <v>625</v>
      </c>
    </row>
    <row r="53" spans="1:5" ht="62.25" customHeight="1" x14ac:dyDescent="0.25">
      <c r="C53" s="379" t="s">
        <v>626</v>
      </c>
      <c r="D53" s="379"/>
      <c r="E53" s="93"/>
    </row>
    <row r="54" spans="1:5" ht="114" customHeight="1" x14ac:dyDescent="0.25">
      <c r="C54" s="379" t="s">
        <v>627</v>
      </c>
      <c r="D54" s="379"/>
      <c r="E54" s="93"/>
    </row>
  </sheetData>
  <mergeCells count="16">
    <mergeCell ref="C52:D52"/>
    <mergeCell ref="C29:E29"/>
    <mergeCell ref="C30:E30"/>
    <mergeCell ref="C53:D53"/>
    <mergeCell ref="C54:D54"/>
    <mergeCell ref="C47:E47"/>
    <mergeCell ref="C48:E48"/>
    <mergeCell ref="C6:E6"/>
    <mergeCell ref="C13:E13"/>
    <mergeCell ref="C49:E49"/>
    <mergeCell ref="C4:E4"/>
    <mergeCell ref="C28:E28"/>
    <mergeCell ref="C5:E5"/>
    <mergeCell ref="C8:E8"/>
    <mergeCell ref="C11:E11"/>
    <mergeCell ref="C9:E9"/>
  </mergeCells>
  <dataValidations count="1">
    <dataValidation type="list" allowBlank="1" showInputMessage="1" showErrorMessage="1" sqref="D32 D14" xr:uid="{DB94C4F4-8DF8-497A-B1F0-71EA42FFDCBC}">
      <formula1>"Scenario A,Scenario B,Full Report"</formula1>
    </dataValidation>
  </dataValidations>
  <pageMargins left="0.7" right="0.7" top="0.75" bottom="0.75" header="0.3" footer="0.3"/>
  <pageSetup orientation="portrait" horizontalDpi="0" verticalDpi="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A83D1-7FBD-4B0C-A3B5-25A7FECEA562}">
  <dimension ref="A1:O49"/>
  <sheetViews>
    <sheetView showGridLines="0" workbookViewId="0"/>
  </sheetViews>
  <sheetFormatPr defaultRowHeight="15.75" x14ac:dyDescent="0.25"/>
  <cols>
    <col min="1" max="1" width="3" customWidth="1"/>
    <col min="2" max="2" width="15.25" customWidth="1"/>
    <col min="3" max="3" width="9.125" customWidth="1"/>
    <col min="4" max="4" width="9" customWidth="1"/>
    <col min="5" max="5" width="8.875" customWidth="1"/>
    <col min="6" max="6" width="9.125" bestFit="1" customWidth="1"/>
    <col min="7" max="7" width="8.875" customWidth="1"/>
    <col min="8" max="8" width="8.75" customWidth="1"/>
    <col min="11" max="11" width="5.5" customWidth="1"/>
  </cols>
  <sheetData>
    <row r="1" spans="1:15" ht="31.5" x14ac:dyDescent="0.5">
      <c r="A1" s="65" t="s">
        <v>1198</v>
      </c>
    </row>
    <row r="2" spans="1:15" ht="18.75" x14ac:dyDescent="0.25">
      <c r="B2" s="97" t="s">
        <v>1199</v>
      </c>
    </row>
    <row r="3" spans="1:15" ht="19.5" x14ac:dyDescent="0.3">
      <c r="A3" s="46" t="s">
        <v>1238</v>
      </c>
    </row>
    <row r="4" spans="1:15" x14ac:dyDescent="0.25">
      <c r="B4" s="380" t="s">
        <v>1231</v>
      </c>
      <c r="C4" s="380"/>
      <c r="D4" s="380"/>
      <c r="E4" s="380"/>
      <c r="F4" s="380"/>
      <c r="G4" s="380"/>
      <c r="H4" s="380"/>
      <c r="I4" s="380"/>
      <c r="J4" s="380"/>
      <c r="K4" s="380"/>
      <c r="L4" s="380"/>
      <c r="M4" s="380"/>
      <c r="N4" s="380"/>
      <c r="O4" s="380"/>
    </row>
    <row r="5" spans="1:15" x14ac:dyDescent="0.25">
      <c r="B5" s="380" t="s">
        <v>1232</v>
      </c>
      <c r="C5" s="380"/>
      <c r="D5" s="380"/>
      <c r="E5" s="380"/>
      <c r="F5" s="380"/>
      <c r="G5" s="380"/>
      <c r="H5" s="380"/>
      <c r="I5" s="380"/>
      <c r="J5" s="380"/>
      <c r="K5" s="380"/>
      <c r="L5" s="380"/>
      <c r="M5" s="380"/>
      <c r="N5" s="380"/>
      <c r="O5" s="380"/>
    </row>
    <row r="6" spans="1:15" ht="32.25" customHeight="1" x14ac:dyDescent="0.25">
      <c r="B6" s="380" t="s">
        <v>1242</v>
      </c>
      <c r="C6" s="380"/>
      <c r="D6" s="380"/>
      <c r="E6" s="380"/>
      <c r="F6" s="380"/>
      <c r="G6" s="380"/>
      <c r="H6" s="380"/>
      <c r="I6" s="380"/>
      <c r="J6" s="380"/>
      <c r="K6" s="380"/>
      <c r="L6" s="380"/>
      <c r="M6" s="380"/>
      <c r="N6" s="380"/>
      <c r="O6" s="380"/>
    </row>
    <row r="7" spans="1:15" x14ac:dyDescent="0.25">
      <c r="B7" t="s">
        <v>1233</v>
      </c>
    </row>
    <row r="8" spans="1:15" x14ac:dyDescent="0.25">
      <c r="B8" t="s">
        <v>1234</v>
      </c>
    </row>
    <row r="9" spans="1:15" x14ac:dyDescent="0.25">
      <c r="B9" t="s">
        <v>1209</v>
      </c>
    </row>
    <row r="10" spans="1:15" ht="19.5" x14ac:dyDescent="0.3">
      <c r="A10" s="46" t="s">
        <v>1239</v>
      </c>
    </row>
    <row r="11" spans="1:15" x14ac:dyDescent="0.25">
      <c r="B11" t="s">
        <v>1243</v>
      </c>
    </row>
    <row r="12" spans="1:15" x14ac:dyDescent="0.25">
      <c r="B12" t="s">
        <v>1240</v>
      </c>
    </row>
    <row r="13" spans="1:15" x14ac:dyDescent="0.25">
      <c r="B13" t="s">
        <v>1241</v>
      </c>
    </row>
    <row r="14" spans="1:15" ht="19.5" x14ac:dyDescent="0.3">
      <c r="A14" s="46" t="s">
        <v>1245</v>
      </c>
    </row>
    <row r="15" spans="1:15" x14ac:dyDescent="0.25">
      <c r="B15" t="s">
        <v>1208</v>
      </c>
    </row>
    <row r="16" spans="1:15" x14ac:dyDescent="0.25">
      <c r="B16" t="s">
        <v>1207</v>
      </c>
    </row>
    <row r="17" spans="1:15" x14ac:dyDescent="0.25">
      <c r="B17" t="s">
        <v>1244</v>
      </c>
    </row>
    <row r="18" spans="1:15" x14ac:dyDescent="0.25">
      <c r="B18" t="s">
        <v>1210</v>
      </c>
    </row>
    <row r="19" spans="1:15" ht="19.5" x14ac:dyDescent="0.3">
      <c r="A19" s="46" t="s">
        <v>192</v>
      </c>
    </row>
    <row r="20" spans="1:15" ht="16.5" thickBot="1" x14ac:dyDescent="0.3">
      <c r="B20" t="s">
        <v>1206</v>
      </c>
    </row>
    <row r="21" spans="1:15" ht="16.5" thickBot="1" x14ac:dyDescent="0.3">
      <c r="B21" t="s">
        <v>587</v>
      </c>
      <c r="C21" s="285" t="s">
        <v>1203</v>
      </c>
    </row>
    <row r="22" spans="1:15" ht="16.5" thickBot="1" x14ac:dyDescent="0.3">
      <c r="B22" t="s">
        <v>1205</v>
      </c>
      <c r="C22">
        <f>MATCH(C21,$M$23:$O$23,0)</f>
        <v>2</v>
      </c>
      <c r="M22" s="360" t="s">
        <v>1200</v>
      </c>
      <c r="N22" s="360"/>
      <c r="O22" s="360"/>
    </row>
    <row r="23" spans="1:15" ht="32.25" thickBot="1" x14ac:dyDescent="0.3">
      <c r="M23" s="32" t="s">
        <v>1202</v>
      </c>
      <c r="N23" s="32" t="s">
        <v>1203</v>
      </c>
      <c r="O23" s="32" t="s">
        <v>1204</v>
      </c>
    </row>
    <row r="24" spans="1:15" ht="16.5" thickBot="1" x14ac:dyDescent="0.3">
      <c r="C24" s="32" t="s">
        <v>1224</v>
      </c>
      <c r="D24" s="32" t="s">
        <v>1225</v>
      </c>
      <c r="E24" s="32" t="s">
        <v>1226</v>
      </c>
      <c r="F24" s="32" t="s">
        <v>1227</v>
      </c>
      <c r="G24" s="32" t="s">
        <v>1228</v>
      </c>
      <c r="H24" s="32" t="s">
        <v>1229</v>
      </c>
    </row>
    <row r="25" spans="1:15" x14ac:dyDescent="0.25">
      <c r="B25" s="17" t="s">
        <v>196</v>
      </c>
      <c r="C25" s="283" t="str">
        <f>"r"&amp;ROW(C25)&amp;"c"&amp;COLUMN(C25)</f>
        <v>r25c3</v>
      </c>
      <c r="D25" s="283" t="str">
        <f t="shared" ref="D25:H39" si="0">"r"&amp;ROW(D25)&amp;"c"&amp;COLUMN(D25)</f>
        <v>r25c4</v>
      </c>
      <c r="E25" s="283" t="str">
        <f t="shared" si="0"/>
        <v>r25c5</v>
      </c>
      <c r="F25" s="283" t="str">
        <f t="shared" si="0"/>
        <v>r25c6</v>
      </c>
      <c r="G25" s="283" t="str">
        <f t="shared" si="0"/>
        <v>r25c7</v>
      </c>
      <c r="H25" s="283" t="str">
        <f t="shared" si="0"/>
        <v>r25c8</v>
      </c>
      <c r="K25" s="284" cm="1">
        <f t="array" ref="K25">INDEX(M25:O25,$C$22)</f>
        <v>0</v>
      </c>
      <c r="M25" s="282"/>
      <c r="N25" s="282"/>
      <c r="O25" s="282"/>
    </row>
    <row r="26" spans="1:15" x14ac:dyDescent="0.25">
      <c r="B26" s="17" t="s">
        <v>198</v>
      </c>
      <c r="C26" s="283" t="str">
        <f t="shared" ref="C26:C39" si="1">"r"&amp;ROW(C26)&amp;"c"&amp;COLUMN(C26)</f>
        <v>r26c3</v>
      </c>
      <c r="D26" s="283" t="str">
        <f t="shared" si="0"/>
        <v>r26c4</v>
      </c>
      <c r="E26" s="283" t="str">
        <f t="shared" si="0"/>
        <v>r26c5</v>
      </c>
      <c r="F26" s="283" t="str">
        <f t="shared" si="0"/>
        <v>r26c6</v>
      </c>
      <c r="G26" s="283" t="str">
        <f t="shared" si="0"/>
        <v>r26c7</v>
      </c>
      <c r="H26" s="283" t="str">
        <f t="shared" si="0"/>
        <v>r26c8</v>
      </c>
      <c r="K26" s="284" cm="1">
        <f t="array" ref="K26">INDEX(M26:O26,$C$22)</f>
        <v>0</v>
      </c>
      <c r="M26" s="282"/>
      <c r="N26" s="282"/>
      <c r="O26" s="282"/>
    </row>
    <row r="27" spans="1:15" x14ac:dyDescent="0.25">
      <c r="B27" s="17" t="s">
        <v>1211</v>
      </c>
      <c r="C27" s="283" t="str">
        <f t="shared" si="1"/>
        <v>r27c3</v>
      </c>
      <c r="D27" s="283" t="str">
        <f t="shared" si="0"/>
        <v>r27c4</v>
      </c>
      <c r="E27" s="283" t="str">
        <f t="shared" si="0"/>
        <v>r27c5</v>
      </c>
      <c r="F27" s="283" t="str">
        <f t="shared" si="0"/>
        <v>r27c6</v>
      </c>
      <c r="G27" s="283" t="str">
        <f t="shared" si="0"/>
        <v>r27c7</v>
      </c>
      <c r="H27" s="283" t="str">
        <f t="shared" si="0"/>
        <v>r27c8</v>
      </c>
      <c r="K27" s="284" t="str" cm="1">
        <f t="array" ref="K27">INDEX(M27:O27,$C$22)</f>
        <v>hide</v>
      </c>
      <c r="M27" s="282"/>
      <c r="N27" s="282" t="s">
        <v>1201</v>
      </c>
      <c r="O27" s="282" t="s">
        <v>1201</v>
      </c>
    </row>
    <row r="28" spans="1:15" x14ac:dyDescent="0.25">
      <c r="B28" s="17" t="s">
        <v>1212</v>
      </c>
      <c r="C28" s="283" t="str">
        <f t="shared" si="1"/>
        <v>r28c3</v>
      </c>
      <c r="D28" s="283" t="str">
        <f t="shared" si="0"/>
        <v>r28c4</v>
      </c>
      <c r="E28" s="283" t="str">
        <f t="shared" si="0"/>
        <v>r28c5</v>
      </c>
      <c r="F28" s="283" t="str">
        <f t="shared" si="0"/>
        <v>r28c6</v>
      </c>
      <c r="G28" s="283" t="str">
        <f t="shared" si="0"/>
        <v>r28c7</v>
      </c>
      <c r="H28" s="283" t="str">
        <f t="shared" si="0"/>
        <v>r28c8</v>
      </c>
      <c r="K28" s="284" cm="1">
        <f t="array" ref="K28">INDEX(M28:O28,$C$22)</f>
        <v>0</v>
      </c>
      <c r="M28" s="282"/>
      <c r="N28" s="282"/>
      <c r="O28" s="282" t="s">
        <v>1201</v>
      </c>
    </row>
    <row r="29" spans="1:15" x14ac:dyDescent="0.25">
      <c r="B29" s="17" t="s">
        <v>1213</v>
      </c>
      <c r="C29" s="283" t="str">
        <f t="shared" si="1"/>
        <v>r29c3</v>
      </c>
      <c r="D29" s="283" t="str">
        <f t="shared" si="0"/>
        <v>r29c4</v>
      </c>
      <c r="E29" s="283" t="str">
        <f t="shared" si="0"/>
        <v>r29c5</v>
      </c>
      <c r="F29" s="283" t="str">
        <f t="shared" si="0"/>
        <v>r29c6</v>
      </c>
      <c r="G29" s="283" t="str">
        <f t="shared" si="0"/>
        <v>r29c7</v>
      </c>
      <c r="H29" s="283" t="str">
        <f t="shared" si="0"/>
        <v>r29c8</v>
      </c>
      <c r="K29" s="284" t="str" cm="1">
        <f t="array" ref="K29">INDEX(M29:O29,$C$22)</f>
        <v>hide</v>
      </c>
      <c r="M29" s="282"/>
      <c r="N29" s="282" t="s">
        <v>1201</v>
      </c>
      <c r="O29" s="282" t="s">
        <v>1201</v>
      </c>
    </row>
    <row r="30" spans="1:15" x14ac:dyDescent="0.25">
      <c r="B30" s="17" t="s">
        <v>1214</v>
      </c>
      <c r="C30" s="283" t="str">
        <f t="shared" si="1"/>
        <v>r30c3</v>
      </c>
      <c r="D30" s="283" t="str">
        <f t="shared" si="0"/>
        <v>r30c4</v>
      </c>
      <c r="E30" s="283" t="str">
        <f t="shared" si="0"/>
        <v>r30c5</v>
      </c>
      <c r="F30" s="283" t="str">
        <f t="shared" si="0"/>
        <v>r30c6</v>
      </c>
      <c r="G30" s="283" t="str">
        <f t="shared" si="0"/>
        <v>r30c7</v>
      </c>
      <c r="H30" s="283" t="str">
        <f t="shared" si="0"/>
        <v>r30c8</v>
      </c>
      <c r="K30" s="284" cm="1">
        <f t="array" ref="K30">INDEX(M30:O30,$C$22)</f>
        <v>0</v>
      </c>
      <c r="M30" s="282"/>
      <c r="N30" s="282"/>
      <c r="O30" s="282"/>
    </row>
    <row r="31" spans="1:15" x14ac:dyDescent="0.25">
      <c r="B31" s="17" t="s">
        <v>1215</v>
      </c>
      <c r="C31" s="283" t="str">
        <f t="shared" si="1"/>
        <v>r31c3</v>
      </c>
      <c r="D31" s="283" t="str">
        <f t="shared" si="0"/>
        <v>r31c4</v>
      </c>
      <c r="E31" s="283" t="str">
        <f t="shared" si="0"/>
        <v>r31c5</v>
      </c>
      <c r="F31" s="283" t="str">
        <f t="shared" si="0"/>
        <v>r31c6</v>
      </c>
      <c r="G31" s="283" t="str">
        <f t="shared" si="0"/>
        <v>r31c7</v>
      </c>
      <c r="H31" s="283" t="str">
        <f t="shared" si="0"/>
        <v>r31c8</v>
      </c>
      <c r="K31" s="284" t="str" cm="1">
        <f t="array" ref="K31">INDEX(M31:O31,$C$22)</f>
        <v>hide</v>
      </c>
      <c r="M31" s="282"/>
      <c r="N31" s="282" t="s">
        <v>1201</v>
      </c>
      <c r="O31" s="282" t="s">
        <v>1201</v>
      </c>
    </row>
    <row r="32" spans="1:15" x14ac:dyDescent="0.25">
      <c r="B32" s="17" t="s">
        <v>1216</v>
      </c>
      <c r="C32" s="283" t="str">
        <f t="shared" si="1"/>
        <v>r32c3</v>
      </c>
      <c r="D32" s="283" t="str">
        <f t="shared" si="0"/>
        <v>r32c4</v>
      </c>
      <c r="E32" s="283" t="str">
        <f t="shared" si="0"/>
        <v>r32c5</v>
      </c>
      <c r="F32" s="283" t="str">
        <f t="shared" si="0"/>
        <v>r32c6</v>
      </c>
      <c r="G32" s="283" t="str">
        <f t="shared" si="0"/>
        <v>r32c7</v>
      </c>
      <c r="H32" s="283" t="str">
        <f t="shared" si="0"/>
        <v>r32c8</v>
      </c>
      <c r="K32" s="284" cm="1">
        <f t="array" ref="K32">INDEX(M32:O32,$C$22)</f>
        <v>0</v>
      </c>
      <c r="M32" s="282"/>
      <c r="N32" s="282"/>
      <c r="O32" s="282" t="s">
        <v>1201</v>
      </c>
    </row>
    <row r="33" spans="2:15" x14ac:dyDescent="0.25">
      <c r="B33" s="17" t="s">
        <v>1217</v>
      </c>
      <c r="C33" s="283" t="str">
        <f t="shared" si="1"/>
        <v>r33c3</v>
      </c>
      <c r="D33" s="283" t="str">
        <f t="shared" si="0"/>
        <v>r33c4</v>
      </c>
      <c r="E33" s="283" t="str">
        <f t="shared" si="0"/>
        <v>r33c5</v>
      </c>
      <c r="F33" s="283" t="str">
        <f t="shared" si="0"/>
        <v>r33c6</v>
      </c>
      <c r="G33" s="283" t="str">
        <f t="shared" si="0"/>
        <v>r33c7</v>
      </c>
      <c r="H33" s="283" t="str">
        <f t="shared" si="0"/>
        <v>r33c8</v>
      </c>
      <c r="K33" s="284" cm="1">
        <f t="array" ref="K33">INDEX(M33:O33,$C$22)</f>
        <v>0</v>
      </c>
      <c r="M33" s="282"/>
      <c r="N33" s="282"/>
      <c r="O33" s="282" t="s">
        <v>1201</v>
      </c>
    </row>
    <row r="34" spans="2:15" x14ac:dyDescent="0.25">
      <c r="B34" s="17" t="s">
        <v>1218</v>
      </c>
      <c r="C34" s="283" t="str">
        <f t="shared" si="1"/>
        <v>r34c3</v>
      </c>
      <c r="D34" s="283" t="str">
        <f t="shared" si="0"/>
        <v>r34c4</v>
      </c>
      <c r="E34" s="283" t="str">
        <f t="shared" si="0"/>
        <v>r34c5</v>
      </c>
      <c r="F34" s="283" t="str">
        <f t="shared" si="0"/>
        <v>r34c6</v>
      </c>
      <c r="G34" s="283" t="str">
        <f t="shared" si="0"/>
        <v>r34c7</v>
      </c>
      <c r="H34" s="283" t="str">
        <f t="shared" si="0"/>
        <v>r34c8</v>
      </c>
      <c r="K34" s="284" t="str" cm="1">
        <f t="array" ref="K34">INDEX(M34:O34,$C$22)</f>
        <v>hide</v>
      </c>
      <c r="M34" s="282"/>
      <c r="N34" s="282" t="s">
        <v>1201</v>
      </c>
      <c r="O34" s="282" t="s">
        <v>1201</v>
      </c>
    </row>
    <row r="35" spans="2:15" x14ac:dyDescent="0.25">
      <c r="B35" s="17" t="s">
        <v>1219</v>
      </c>
      <c r="C35" s="283" t="str">
        <f t="shared" si="1"/>
        <v>r35c3</v>
      </c>
      <c r="D35" s="283" t="str">
        <f t="shared" si="0"/>
        <v>r35c4</v>
      </c>
      <c r="E35" s="283" t="str">
        <f t="shared" si="0"/>
        <v>r35c5</v>
      </c>
      <c r="F35" s="283" t="str">
        <f t="shared" si="0"/>
        <v>r35c6</v>
      </c>
      <c r="G35" s="283" t="str">
        <f t="shared" si="0"/>
        <v>r35c7</v>
      </c>
      <c r="H35" s="283" t="str">
        <f t="shared" si="0"/>
        <v>r35c8</v>
      </c>
      <c r="K35" s="284" cm="1">
        <f t="array" ref="K35">INDEX(M35:O35,$C$22)</f>
        <v>0</v>
      </c>
      <c r="M35" s="282"/>
      <c r="N35" s="282"/>
      <c r="O35" s="282"/>
    </row>
    <row r="36" spans="2:15" x14ac:dyDescent="0.25">
      <c r="B36" s="17" t="s">
        <v>1220</v>
      </c>
      <c r="C36" s="283" t="str">
        <f t="shared" si="1"/>
        <v>r36c3</v>
      </c>
      <c r="D36" s="283" t="str">
        <f t="shared" si="0"/>
        <v>r36c4</v>
      </c>
      <c r="E36" s="283" t="str">
        <f t="shared" si="0"/>
        <v>r36c5</v>
      </c>
      <c r="F36" s="283" t="str">
        <f t="shared" si="0"/>
        <v>r36c6</v>
      </c>
      <c r="G36" s="283" t="str">
        <f t="shared" si="0"/>
        <v>r36c7</v>
      </c>
      <c r="H36" s="283" t="str">
        <f t="shared" si="0"/>
        <v>r36c8</v>
      </c>
      <c r="K36" s="284" cm="1">
        <f t="array" ref="K36">INDEX(M36:O36,$C$22)</f>
        <v>0</v>
      </c>
      <c r="M36" s="282"/>
      <c r="N36" s="282"/>
      <c r="O36" s="282"/>
    </row>
    <row r="37" spans="2:15" x14ac:dyDescent="0.25">
      <c r="B37" s="17" t="s">
        <v>1221</v>
      </c>
      <c r="C37" s="283" t="str">
        <f t="shared" si="1"/>
        <v>r37c3</v>
      </c>
      <c r="D37" s="283" t="str">
        <f t="shared" si="0"/>
        <v>r37c4</v>
      </c>
      <c r="E37" s="283" t="str">
        <f t="shared" si="0"/>
        <v>r37c5</v>
      </c>
      <c r="F37" s="283" t="str">
        <f t="shared" si="0"/>
        <v>r37c6</v>
      </c>
      <c r="G37" s="283" t="str">
        <f t="shared" si="0"/>
        <v>r37c7</v>
      </c>
      <c r="H37" s="283" t="str">
        <f t="shared" si="0"/>
        <v>r37c8</v>
      </c>
      <c r="K37" s="284" t="str" cm="1">
        <f t="array" ref="K37">INDEX(M37:O37,$C$22)</f>
        <v>hide</v>
      </c>
      <c r="M37" s="282"/>
      <c r="N37" s="282" t="s">
        <v>1201</v>
      </c>
      <c r="O37" s="282" t="s">
        <v>1201</v>
      </c>
    </row>
    <row r="38" spans="2:15" x14ac:dyDescent="0.25">
      <c r="B38" s="17" t="s">
        <v>1222</v>
      </c>
      <c r="C38" s="283" t="str">
        <f t="shared" si="1"/>
        <v>r38c3</v>
      </c>
      <c r="D38" s="283" t="str">
        <f t="shared" si="0"/>
        <v>r38c4</v>
      </c>
      <c r="E38" s="283" t="str">
        <f t="shared" si="0"/>
        <v>r38c5</v>
      </c>
      <c r="F38" s="283" t="str">
        <f t="shared" si="0"/>
        <v>r38c6</v>
      </c>
      <c r="G38" s="283" t="str">
        <f t="shared" si="0"/>
        <v>r38c7</v>
      </c>
      <c r="H38" s="283" t="str">
        <f t="shared" si="0"/>
        <v>r38c8</v>
      </c>
      <c r="K38" s="284" cm="1">
        <f t="array" ref="K38">INDEX(M38:O38,$C$22)</f>
        <v>0</v>
      </c>
      <c r="M38" s="282"/>
      <c r="N38" s="282"/>
      <c r="O38" s="282"/>
    </row>
    <row r="39" spans="2:15" x14ac:dyDescent="0.25">
      <c r="B39" s="17" t="s">
        <v>1223</v>
      </c>
      <c r="C39" s="283" t="str">
        <f t="shared" si="1"/>
        <v>r39c3</v>
      </c>
      <c r="D39" s="283" t="str">
        <f t="shared" si="0"/>
        <v>r39c4</v>
      </c>
      <c r="E39" s="283" t="str">
        <f t="shared" si="0"/>
        <v>r39c5</v>
      </c>
      <c r="F39" s="283" t="str">
        <f t="shared" si="0"/>
        <v>r39c6</v>
      </c>
      <c r="G39" s="283" t="str">
        <f t="shared" si="0"/>
        <v>r39c7</v>
      </c>
      <c r="H39" s="283" t="str">
        <f t="shared" si="0"/>
        <v>r39c8</v>
      </c>
      <c r="K39" s="284" cm="1">
        <f t="array" ref="K39">INDEX(M39:O39,$C$22)</f>
        <v>0</v>
      </c>
      <c r="M39" s="282"/>
      <c r="N39" s="282"/>
      <c r="O39" s="282"/>
    </row>
    <row r="41" spans="2:15" x14ac:dyDescent="0.25">
      <c r="C41" s="284" cm="1">
        <f t="array" ref="C41">INDEX(C43:C45,$C$22)</f>
        <v>0</v>
      </c>
      <c r="D41" s="284" t="str" cm="1">
        <f t="array" ref="D41">INDEX(D43:D45,$C$22)</f>
        <v>hide</v>
      </c>
      <c r="E41" s="284" cm="1">
        <f t="array" ref="E41">INDEX(E43:E45,$C$22)</f>
        <v>0</v>
      </c>
      <c r="F41" s="284" cm="1">
        <f t="array" ref="F41">INDEX(F43:F45,$C$22)</f>
        <v>0</v>
      </c>
      <c r="G41" s="284" t="str" cm="1">
        <f t="array" ref="G41">INDEX(G43:G45,$C$22)</f>
        <v>hide</v>
      </c>
      <c r="H41" s="284" cm="1">
        <f t="array" ref="H41">INDEX(H43:H45,$C$22)</f>
        <v>0</v>
      </c>
    </row>
    <row r="43" spans="2:15" x14ac:dyDescent="0.25">
      <c r="B43" s="17" t="s">
        <v>1202</v>
      </c>
      <c r="C43" s="282"/>
      <c r="D43" s="282"/>
      <c r="E43" s="282"/>
      <c r="F43" s="282"/>
      <c r="G43" s="282"/>
      <c r="H43" s="282"/>
    </row>
    <row r="44" spans="2:15" x14ac:dyDescent="0.25">
      <c r="B44" s="17" t="str">
        <f>N23</f>
        <v>Hide Some</v>
      </c>
      <c r="C44" s="282"/>
      <c r="D44" s="282" t="s">
        <v>1201</v>
      </c>
      <c r="E44" s="282"/>
      <c r="F44" s="282"/>
      <c r="G44" s="282" t="s">
        <v>1201</v>
      </c>
      <c r="H44" s="282"/>
    </row>
    <row r="45" spans="2:15" x14ac:dyDescent="0.25">
      <c r="B45" s="17" t="str">
        <f>O23</f>
        <v>Hide Most</v>
      </c>
      <c r="C45" s="282"/>
      <c r="D45" s="282" t="s">
        <v>1201</v>
      </c>
      <c r="E45" s="282" t="s">
        <v>1201</v>
      </c>
      <c r="F45" s="282"/>
      <c r="G45" s="282" t="s">
        <v>1201</v>
      </c>
      <c r="H45" s="282"/>
    </row>
    <row r="48" spans="2:15" x14ac:dyDescent="0.25">
      <c r="B48" t="s">
        <v>1246</v>
      </c>
    </row>
    <row r="49" spans="2:2" x14ac:dyDescent="0.25">
      <c r="B49" t="s">
        <v>1247</v>
      </c>
    </row>
  </sheetData>
  <mergeCells count="4">
    <mergeCell ref="M22:O22"/>
    <mergeCell ref="B4:O4"/>
    <mergeCell ref="B5:O5"/>
    <mergeCell ref="B6:O6"/>
  </mergeCells>
  <phoneticPr fontId="87" type="noConversion"/>
  <dataValidations count="1">
    <dataValidation type="list" allowBlank="1" showInputMessage="1" showErrorMessage="1" sqref="C21" xr:uid="{85D97F23-C1FB-4F38-8C84-25A0299A5164}">
      <formula1>$M$23:$O$23</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F760-0938-446D-949F-DCB0F43F94C5}">
  <sheetPr>
    <tabColor theme="9" tint="-0.249977111117893"/>
  </sheetPr>
  <dimension ref="A1:N85"/>
  <sheetViews>
    <sheetView showGridLines="0" workbookViewId="0"/>
  </sheetViews>
  <sheetFormatPr defaultRowHeight="15.75" x14ac:dyDescent="0.25"/>
  <cols>
    <col min="1" max="1" width="3.25" customWidth="1"/>
    <col min="2" max="2" width="4.25" customWidth="1"/>
    <col min="3" max="3" width="23.625" customWidth="1"/>
    <col min="4" max="4" width="12.125" customWidth="1"/>
    <col min="5" max="5" width="10.875" customWidth="1"/>
    <col min="6" max="6" width="10.75" customWidth="1"/>
    <col min="7" max="7" width="8" customWidth="1"/>
    <col min="8" max="8" width="23.625" customWidth="1"/>
    <col min="9" max="9" width="11.375" customWidth="1"/>
    <col min="10" max="10" width="12.625" customWidth="1"/>
    <col min="12" max="12" width="2.625" customWidth="1"/>
    <col min="13" max="13" width="10.25" customWidth="1"/>
  </cols>
  <sheetData>
    <row r="1" spans="1:11" ht="31.5" x14ac:dyDescent="0.5">
      <c r="A1" s="65" t="s">
        <v>1315</v>
      </c>
      <c r="B1" s="65"/>
    </row>
    <row r="2" spans="1:11" ht="26.25" customHeight="1" x14ac:dyDescent="0.5">
      <c r="A2" s="65"/>
      <c r="B2" s="389" t="s">
        <v>1316</v>
      </c>
      <c r="C2" s="389"/>
      <c r="D2" s="389"/>
      <c r="E2" s="389"/>
      <c r="F2" s="389"/>
      <c r="G2" s="389"/>
      <c r="H2" s="308"/>
      <c r="I2" s="308"/>
      <c r="J2" s="308"/>
      <c r="K2" s="308"/>
    </row>
    <row r="3" spans="1:11" ht="51" customHeight="1" x14ac:dyDescent="0.25">
      <c r="B3" s="324" t="s">
        <v>1314</v>
      </c>
      <c r="C3" s="324"/>
      <c r="D3" s="324"/>
      <c r="E3" s="324"/>
      <c r="F3" s="324"/>
      <c r="G3" s="324"/>
      <c r="H3" s="198"/>
      <c r="I3" s="198"/>
      <c r="J3" s="198"/>
      <c r="K3" s="198"/>
    </row>
    <row r="4" spans="1:11" ht="30.75" customHeight="1" x14ac:dyDescent="0.35">
      <c r="A4" s="81" t="s">
        <v>1285</v>
      </c>
      <c r="B4" s="46"/>
    </row>
    <row r="5" spans="1:11" x14ac:dyDescent="0.25">
      <c r="B5" s="393" t="s">
        <v>1317</v>
      </c>
      <c r="C5" s="393"/>
      <c r="D5" s="393"/>
      <c r="E5" s="393"/>
      <c r="F5" s="393"/>
      <c r="G5" s="393"/>
      <c r="H5" s="393"/>
      <c r="I5" s="393"/>
      <c r="J5" s="393"/>
      <c r="K5" s="393"/>
    </row>
    <row r="6" spans="1:11" ht="33" customHeight="1" x14ac:dyDescent="0.25">
      <c r="B6" s="394" t="s">
        <v>1318</v>
      </c>
      <c r="C6" s="394"/>
      <c r="D6" s="394"/>
      <c r="E6" s="394"/>
      <c r="F6" s="394"/>
      <c r="G6" s="394"/>
      <c r="H6" s="394"/>
      <c r="I6" s="394"/>
      <c r="J6" s="394"/>
      <c r="K6" s="394"/>
    </row>
    <row r="7" spans="1:11" ht="27" customHeight="1" x14ac:dyDescent="0.35">
      <c r="A7" s="81" t="s">
        <v>1280</v>
      </c>
      <c r="B7" s="46"/>
    </row>
    <row r="8" spans="1:11" x14ac:dyDescent="0.25">
      <c r="B8" s="392" t="s">
        <v>1298</v>
      </c>
      <c r="C8" s="392"/>
      <c r="D8" s="392"/>
      <c r="E8" s="392"/>
      <c r="F8" s="392"/>
      <c r="G8" s="392"/>
      <c r="H8" s="392"/>
      <c r="I8" s="392"/>
      <c r="J8" s="392"/>
      <c r="K8" s="392"/>
    </row>
    <row r="9" spans="1:11" x14ac:dyDescent="0.25">
      <c r="B9" s="392" t="s">
        <v>1299</v>
      </c>
      <c r="C9" s="392"/>
      <c r="D9" s="392"/>
      <c r="E9" s="392"/>
      <c r="F9" s="392"/>
      <c r="G9" s="392"/>
      <c r="H9" s="392"/>
      <c r="I9" s="392"/>
      <c r="J9" s="392"/>
      <c r="K9" s="392"/>
    </row>
    <row r="10" spans="1:11" ht="36" customHeight="1" x14ac:dyDescent="0.35">
      <c r="B10" s="300" t="s">
        <v>1278</v>
      </c>
      <c r="C10" s="390" t="s">
        <v>1278</v>
      </c>
      <c r="D10" s="390"/>
      <c r="E10" s="390"/>
      <c r="F10" s="390"/>
      <c r="G10" s="304"/>
      <c r="H10" s="391" t="s">
        <v>1279</v>
      </c>
      <c r="I10" s="391"/>
      <c r="J10" s="391"/>
      <c r="K10" s="391"/>
    </row>
    <row r="11" spans="1:11" ht="181.5" customHeight="1" x14ac:dyDescent="0.25"/>
    <row r="12" spans="1:11" ht="23.25" x14ac:dyDescent="0.35">
      <c r="A12" s="81" t="s">
        <v>1294</v>
      </c>
      <c r="B12" s="46"/>
    </row>
    <row r="13" spans="1:11" x14ac:dyDescent="0.25">
      <c r="B13" s="392" t="s">
        <v>1300</v>
      </c>
      <c r="C13" s="392"/>
      <c r="D13" s="392"/>
      <c r="E13" s="392"/>
      <c r="F13" s="392"/>
      <c r="G13" s="392"/>
      <c r="H13" s="392"/>
      <c r="I13" s="392"/>
      <c r="J13" s="392"/>
      <c r="K13" s="392"/>
    </row>
    <row r="14" spans="1:11" x14ac:dyDescent="0.25">
      <c r="B14" s="392" t="s">
        <v>1295</v>
      </c>
      <c r="C14" s="392"/>
      <c r="D14" s="392"/>
      <c r="E14" s="392"/>
      <c r="F14" s="392"/>
      <c r="G14" s="392"/>
      <c r="H14" s="392"/>
      <c r="I14" s="392"/>
      <c r="J14" s="392"/>
      <c r="K14" s="392"/>
    </row>
    <row r="15" spans="1:11" x14ac:dyDescent="0.25">
      <c r="B15" s="392" t="s">
        <v>1322</v>
      </c>
      <c r="C15" s="392"/>
      <c r="D15" s="392"/>
      <c r="E15" s="392"/>
      <c r="F15" s="392"/>
      <c r="G15" s="392"/>
      <c r="H15" s="392"/>
      <c r="I15" s="392"/>
      <c r="J15" s="392"/>
      <c r="K15" s="392"/>
    </row>
    <row r="17" spans="2:11" ht="26.25" x14ac:dyDescent="0.4">
      <c r="C17" s="395" t="s">
        <v>1278</v>
      </c>
      <c r="D17" s="395"/>
      <c r="E17" s="395"/>
      <c r="F17" s="395"/>
      <c r="H17" s="396" t="s">
        <v>1279</v>
      </c>
      <c r="I17" s="396"/>
      <c r="J17" s="396"/>
      <c r="K17" s="396"/>
    </row>
    <row r="18" spans="2:11" ht="17.25" x14ac:dyDescent="0.3">
      <c r="B18" s="19" t="s">
        <v>26</v>
      </c>
    </row>
    <row r="19" spans="2:11" x14ac:dyDescent="0.25">
      <c r="D19" t="s">
        <v>1296</v>
      </c>
      <c r="E19" s="53" t="s">
        <v>1282</v>
      </c>
      <c r="I19" t="s">
        <v>1296</v>
      </c>
      <c r="J19" s="53" t="s">
        <v>1283</v>
      </c>
    </row>
    <row r="20" spans="2:11" x14ac:dyDescent="0.25">
      <c r="C20" t="s">
        <v>53</v>
      </c>
      <c r="D20" s="77" t="s">
        <v>54</v>
      </c>
      <c r="E20" t="s">
        <v>55</v>
      </c>
      <c r="F20" t="s">
        <v>56</v>
      </c>
      <c r="H20" t="s">
        <v>53</v>
      </c>
      <c r="I20" t="s">
        <v>54</v>
      </c>
      <c r="J20" t="s">
        <v>55</v>
      </c>
      <c r="K20" t="s">
        <v>56</v>
      </c>
    </row>
    <row r="21" spans="2:11" x14ac:dyDescent="0.25">
      <c r="C21" t="s">
        <v>57</v>
      </c>
      <c r="D21" s="77">
        <f ca="1">TODAY()</f>
        <v>45532</v>
      </c>
      <c r="E21" t="s">
        <v>58</v>
      </c>
      <c r="F21" s="298">
        <v>120</v>
      </c>
      <c r="H21" t="s">
        <v>57</v>
      </c>
      <c r="I21" s="77">
        <v>45304</v>
      </c>
      <c r="J21" t="s">
        <v>58</v>
      </c>
      <c r="K21" s="299">
        <v>120</v>
      </c>
    </row>
    <row r="22" spans="2:11" x14ac:dyDescent="0.25">
      <c r="C22" t="s">
        <v>59</v>
      </c>
      <c r="D22" s="77">
        <f t="shared" ref="D22:D27" ca="1" si="0">D21-1</f>
        <v>45531</v>
      </c>
      <c r="E22" t="s">
        <v>60</v>
      </c>
      <c r="F22" s="298">
        <v>142</v>
      </c>
      <c r="H22" t="s">
        <v>59</v>
      </c>
      <c r="I22" s="77">
        <v>45303</v>
      </c>
      <c r="J22" t="s">
        <v>60</v>
      </c>
      <c r="K22" s="299">
        <v>142</v>
      </c>
    </row>
    <row r="23" spans="2:11" x14ac:dyDescent="0.25">
      <c r="C23" t="s">
        <v>1292</v>
      </c>
      <c r="D23" s="77">
        <f t="shared" ca="1" si="0"/>
        <v>45530</v>
      </c>
      <c r="E23" t="s">
        <v>62</v>
      </c>
      <c r="F23" s="298">
        <v>27</v>
      </c>
      <c r="H23" t="s">
        <v>1292</v>
      </c>
      <c r="I23" s="77">
        <v>45302</v>
      </c>
      <c r="J23" t="s">
        <v>62</v>
      </c>
      <c r="K23" s="299">
        <v>27</v>
      </c>
    </row>
    <row r="24" spans="2:11" x14ac:dyDescent="0.25">
      <c r="C24" t="s">
        <v>63</v>
      </c>
      <c r="D24" s="77">
        <f t="shared" ca="1" si="0"/>
        <v>45529</v>
      </c>
      <c r="E24" t="s">
        <v>64</v>
      </c>
      <c r="F24" s="298">
        <v>33</v>
      </c>
      <c r="H24" t="s">
        <v>63</v>
      </c>
      <c r="I24" s="77">
        <v>45301</v>
      </c>
      <c r="J24" t="s">
        <v>64</v>
      </c>
      <c r="K24" s="299">
        <v>33</v>
      </c>
    </row>
    <row r="25" spans="2:11" x14ac:dyDescent="0.25">
      <c r="C25" t="s">
        <v>65</v>
      </c>
      <c r="D25" s="77">
        <f t="shared" ca="1" si="0"/>
        <v>45528</v>
      </c>
      <c r="E25" t="s">
        <v>66</v>
      </c>
      <c r="F25" s="298">
        <v>350</v>
      </c>
      <c r="H25" t="s">
        <v>65</v>
      </c>
      <c r="I25" s="77">
        <v>45300</v>
      </c>
      <c r="J25" t="s">
        <v>66</v>
      </c>
      <c r="K25" s="299">
        <v>350</v>
      </c>
    </row>
    <row r="26" spans="2:11" x14ac:dyDescent="0.25">
      <c r="C26" t="s">
        <v>67</v>
      </c>
      <c r="D26" s="77">
        <f t="shared" ca="1" si="0"/>
        <v>45527</v>
      </c>
      <c r="E26" s="12" t="s">
        <v>68</v>
      </c>
      <c r="F26" s="298">
        <v>135</v>
      </c>
      <c r="H26" t="s">
        <v>67</v>
      </c>
      <c r="I26" s="77">
        <v>45299</v>
      </c>
      <c r="J26" t="s">
        <v>68</v>
      </c>
      <c r="K26" s="299">
        <v>135</v>
      </c>
    </row>
    <row r="27" spans="2:11" x14ac:dyDescent="0.25">
      <c r="C27" t="s">
        <v>1292</v>
      </c>
      <c r="D27" s="77">
        <f t="shared" ca="1" si="0"/>
        <v>45526</v>
      </c>
      <c r="E27" s="12" t="s">
        <v>62</v>
      </c>
      <c r="F27" s="298">
        <v>97</v>
      </c>
      <c r="H27" t="s">
        <v>1292</v>
      </c>
      <c r="I27" s="77">
        <v>45298</v>
      </c>
      <c r="J27" t="s">
        <v>62</v>
      </c>
      <c r="K27" s="299">
        <v>97</v>
      </c>
    </row>
    <row r="28" spans="2:11" x14ac:dyDescent="0.25">
      <c r="D28" s="12"/>
      <c r="E28" s="12"/>
      <c r="F28" s="12"/>
    </row>
    <row r="31" spans="2:11" ht="17.25" x14ac:dyDescent="0.3">
      <c r="B31" s="19" t="s">
        <v>1290</v>
      </c>
    </row>
    <row r="32" spans="2:11" x14ac:dyDescent="0.25">
      <c r="D32" t="s">
        <v>1297</v>
      </c>
      <c r="E32" s="53" t="s">
        <v>1286</v>
      </c>
      <c r="I32" t="s">
        <v>1297</v>
      </c>
      <c r="J32" s="53" t="s">
        <v>1287</v>
      </c>
    </row>
    <row r="33" spans="2:14" x14ac:dyDescent="0.25">
      <c r="C33" t="s">
        <v>21</v>
      </c>
      <c r="D33" s="384" t="s">
        <v>21</v>
      </c>
      <c r="E33" s="385"/>
      <c r="F33" s="385"/>
      <c r="H33" t="s">
        <v>21</v>
      </c>
      <c r="I33" s="386" t="s">
        <v>21</v>
      </c>
      <c r="J33" s="387"/>
      <c r="K33" s="387"/>
    </row>
    <row r="35" spans="2:14" ht="17.25" x14ac:dyDescent="0.3">
      <c r="B35" s="19" t="s">
        <v>1291</v>
      </c>
    </row>
    <row r="36" spans="2:14" x14ac:dyDescent="0.25">
      <c r="D36" t="s">
        <v>1297</v>
      </c>
      <c r="E36" s="53" t="s">
        <v>1284</v>
      </c>
      <c r="I36" t="s">
        <v>1297</v>
      </c>
      <c r="J36" s="53" t="s">
        <v>1288</v>
      </c>
    </row>
    <row r="37" spans="2:14" x14ac:dyDescent="0.25">
      <c r="D37" s="318" t="s">
        <v>39</v>
      </c>
      <c r="E37" s="318"/>
      <c r="F37" s="318"/>
      <c r="I37" s="318" t="s">
        <v>39</v>
      </c>
      <c r="J37" s="318"/>
      <c r="K37" s="318"/>
    </row>
    <row r="38" spans="2:14" x14ac:dyDescent="0.25">
      <c r="D38" s="276">
        <v>2024</v>
      </c>
      <c r="E38" s="276">
        <f>D38-1</f>
        <v>2023</v>
      </c>
      <c r="F38" s="277" t="s">
        <v>40</v>
      </c>
      <c r="I38" s="276">
        <v>2024</v>
      </c>
      <c r="J38" s="276">
        <v>2023</v>
      </c>
      <c r="K38" s="277" t="s">
        <v>40</v>
      </c>
    </row>
    <row r="39" spans="2:14" x14ac:dyDescent="0.25">
      <c r="C39" s="265" t="s">
        <v>41</v>
      </c>
      <c r="D39" s="274">
        <v>1000</v>
      </c>
      <c r="E39" s="274">
        <v>900</v>
      </c>
      <c r="F39" s="275">
        <f>(D39-E39)/E39</f>
        <v>0.1111111111111111</v>
      </c>
      <c r="H39" s="265" t="s">
        <v>41</v>
      </c>
      <c r="I39" s="274">
        <v>1000</v>
      </c>
      <c r="J39" s="274">
        <v>900</v>
      </c>
      <c r="K39" s="275">
        <f>(I39-J39)/J39</f>
        <v>0.1111111111111111</v>
      </c>
    </row>
    <row r="40" spans="2:14" x14ac:dyDescent="0.25">
      <c r="C40" s="266" t="s">
        <v>42</v>
      </c>
      <c r="D40" s="267">
        <f>D39*2%</f>
        <v>20</v>
      </c>
      <c r="E40" s="267">
        <f>E39*2%</f>
        <v>18</v>
      </c>
      <c r="F40" s="268">
        <f t="shared" ref="F40:F46" si="1">(D40-E40)/E40</f>
        <v>0.1111111111111111</v>
      </c>
      <c r="H40" s="266" t="s">
        <v>42</v>
      </c>
      <c r="I40" s="267">
        <v>20</v>
      </c>
      <c r="J40" s="267">
        <v>18</v>
      </c>
      <c r="K40" s="268">
        <f t="shared" ref="K40:K42" si="2">(I40-J40)/J40</f>
        <v>0.1111111111111111</v>
      </c>
    </row>
    <row r="41" spans="2:14" ht="16.5" thickBot="1" x14ac:dyDescent="0.3">
      <c r="C41" s="269" t="s">
        <v>43</v>
      </c>
      <c r="D41" s="270">
        <f>D39-D40</f>
        <v>980</v>
      </c>
      <c r="E41" s="270">
        <f>E39-E40</f>
        <v>882</v>
      </c>
      <c r="F41" s="223">
        <f t="shared" si="1"/>
        <v>0.1111111111111111</v>
      </c>
      <c r="H41" s="269" t="s">
        <v>43</v>
      </c>
      <c r="I41" s="270">
        <f>I39-I40</f>
        <v>980</v>
      </c>
      <c r="J41" s="270">
        <f>J39-J40</f>
        <v>882</v>
      </c>
      <c r="K41" s="223">
        <f t="shared" si="2"/>
        <v>0.1111111111111111</v>
      </c>
    </row>
    <row r="42" spans="2:14" ht="16.5" thickTop="1" x14ac:dyDescent="0.25">
      <c r="C42" s="266" t="s">
        <v>44</v>
      </c>
      <c r="D42" s="271">
        <f>D39*0.4</f>
        <v>400</v>
      </c>
      <c r="E42" s="271">
        <f>E39*0.4</f>
        <v>360</v>
      </c>
      <c r="F42" s="272">
        <f t="shared" si="1"/>
        <v>0.1111111111111111</v>
      </c>
      <c r="H42" s="266" t="s">
        <v>44</v>
      </c>
      <c r="I42" s="271">
        <v>400</v>
      </c>
      <c r="J42" s="271">
        <v>360</v>
      </c>
      <c r="K42" s="272">
        <f t="shared" si="2"/>
        <v>0.1111111111111111</v>
      </c>
    </row>
    <row r="43" spans="2:14" x14ac:dyDescent="0.25">
      <c r="C43" s="273" t="s">
        <v>45</v>
      </c>
      <c r="D43" s="271">
        <f>D39*0.3</f>
        <v>300</v>
      </c>
      <c r="E43" s="271">
        <f>E39*0.3</f>
        <v>270</v>
      </c>
      <c r="F43" s="268">
        <f>(D43-E43)/E43</f>
        <v>0.1111111111111111</v>
      </c>
      <c r="H43" s="273" t="s">
        <v>45</v>
      </c>
      <c r="I43" s="267">
        <v>300</v>
      </c>
      <c r="J43" s="267">
        <v>270</v>
      </c>
      <c r="K43" s="268">
        <f>(I43-J43)/J43</f>
        <v>0.1111111111111111</v>
      </c>
    </row>
    <row r="44" spans="2:14" ht="16.5" thickBot="1" x14ac:dyDescent="0.3">
      <c r="C44" s="269" t="s">
        <v>46</v>
      </c>
      <c r="D44" s="270">
        <f>D41-D42-D43</f>
        <v>280</v>
      </c>
      <c r="E44" s="270">
        <f>E41-E42-E43</f>
        <v>252</v>
      </c>
      <c r="F44" s="223">
        <f t="shared" si="1"/>
        <v>0.1111111111111111</v>
      </c>
      <c r="H44" s="269" t="s">
        <v>46</v>
      </c>
      <c r="I44" s="270">
        <f>I41-I42-I43</f>
        <v>280</v>
      </c>
      <c r="J44" s="270">
        <f>J41-J42-J43</f>
        <v>252</v>
      </c>
      <c r="K44" s="223">
        <f t="shared" ref="K44:K46" si="3">(I44-J44)/J44</f>
        <v>0.1111111111111111</v>
      </c>
    </row>
    <row r="45" spans="2:14" ht="16.5" thickTop="1" x14ac:dyDescent="0.25">
      <c r="C45" s="266" t="s">
        <v>1293</v>
      </c>
      <c r="D45" s="271">
        <f>D39*8%</f>
        <v>80</v>
      </c>
      <c r="E45" s="271">
        <f>E39*8%</f>
        <v>72</v>
      </c>
      <c r="F45" s="272">
        <f t="shared" si="1"/>
        <v>0.1111111111111111</v>
      </c>
      <c r="H45" s="266" t="s">
        <v>1293</v>
      </c>
      <c r="I45" s="271">
        <v>80</v>
      </c>
      <c r="J45" s="271">
        <v>72</v>
      </c>
      <c r="K45" s="272">
        <f t="shared" si="3"/>
        <v>0.1111111111111111</v>
      </c>
      <c r="N45" s="276">
        <v>2024</v>
      </c>
    </row>
    <row r="46" spans="2:14" ht="16.5" thickBot="1" x14ac:dyDescent="0.3">
      <c r="C46" s="266" t="s">
        <v>48</v>
      </c>
      <c r="D46" s="301">
        <v>0</v>
      </c>
      <c r="E46" s="267">
        <f>E44*35%</f>
        <v>88.199999999999989</v>
      </c>
      <c r="F46" s="268">
        <f t="shared" si="1"/>
        <v>-1</v>
      </c>
      <c r="H46" s="266" t="s">
        <v>48</v>
      </c>
      <c r="I46" s="302">
        <f>N46</f>
        <v>75</v>
      </c>
      <c r="J46" s="267">
        <v>88.2</v>
      </c>
      <c r="K46" s="268">
        <f t="shared" si="3"/>
        <v>-0.14965986394557826</v>
      </c>
      <c r="M46" s="307" t="s">
        <v>48</v>
      </c>
      <c r="N46" s="283">
        <v>75</v>
      </c>
    </row>
    <row r="47" spans="2:14" ht="16.5" thickTop="1" x14ac:dyDescent="0.25">
      <c r="C47" s="221" t="s">
        <v>49</v>
      </c>
      <c r="D47" s="222">
        <f>D44+D45-D46</f>
        <v>360</v>
      </c>
      <c r="E47" s="222">
        <f>E44+E45-E46</f>
        <v>235.8</v>
      </c>
      <c r="F47" s="224">
        <f>(D47-E47)/E47</f>
        <v>0.52671755725190827</v>
      </c>
      <c r="H47" s="221" t="s">
        <v>49</v>
      </c>
      <c r="I47" s="222">
        <f>I44+I45-I46</f>
        <v>285</v>
      </c>
      <c r="J47" s="222">
        <f>J44+J45-J46</f>
        <v>235.8</v>
      </c>
      <c r="K47" s="224">
        <f>(I47-J47)/J47</f>
        <v>0.2086513994910941</v>
      </c>
    </row>
    <row r="49" spans="1:11" ht="32.25" customHeight="1" x14ac:dyDescent="0.25">
      <c r="C49" s="388" t="s">
        <v>1337</v>
      </c>
      <c r="D49" s="388"/>
      <c r="E49" s="388"/>
      <c r="F49" s="388"/>
      <c r="G49" s="388"/>
      <c r="H49" s="388"/>
      <c r="I49" s="388"/>
      <c r="J49" s="388"/>
      <c r="K49" s="388"/>
    </row>
    <row r="51" spans="1:11" ht="23.25" x14ac:dyDescent="0.35">
      <c r="A51" s="81" t="s">
        <v>1289</v>
      </c>
      <c r="B51" s="46"/>
    </row>
    <row r="52" spans="1:11" ht="17.25" x14ac:dyDescent="0.3">
      <c r="B52" s="19" t="s">
        <v>1320</v>
      </c>
    </row>
    <row r="53" spans="1:11" ht="29.25" customHeight="1" x14ac:dyDescent="0.25">
      <c r="C53" s="382" t="s">
        <v>1325</v>
      </c>
      <c r="D53" s="383"/>
      <c r="E53" s="383"/>
      <c r="F53" s="383"/>
      <c r="G53" s="383"/>
      <c r="H53" s="383"/>
      <c r="I53" s="383"/>
      <c r="J53" s="383"/>
      <c r="K53" s="383"/>
    </row>
    <row r="54" spans="1:11" ht="35.25" customHeight="1" x14ac:dyDescent="0.25">
      <c r="C54" s="382" t="s">
        <v>1324</v>
      </c>
      <c r="D54" s="383"/>
      <c r="E54" s="383"/>
      <c r="F54" s="383"/>
      <c r="G54" s="383"/>
      <c r="H54" s="383"/>
      <c r="I54" s="383"/>
      <c r="J54" s="383"/>
      <c r="K54" s="383"/>
    </row>
    <row r="55" spans="1:11" ht="30.75" customHeight="1" x14ac:dyDescent="0.25">
      <c r="C55" s="382" t="s">
        <v>1326</v>
      </c>
      <c r="D55" s="383"/>
      <c r="E55" s="383"/>
      <c r="F55" s="383"/>
      <c r="G55" s="383"/>
      <c r="H55" s="383"/>
      <c r="I55" s="383"/>
      <c r="J55" s="383"/>
      <c r="K55" s="383"/>
    </row>
    <row r="56" spans="1:11" ht="17.25" x14ac:dyDescent="0.3">
      <c r="B56" s="19" t="s">
        <v>1321</v>
      </c>
    </row>
    <row r="57" spans="1:11" ht="45" customHeight="1" x14ac:dyDescent="0.25">
      <c r="C57" s="382" t="s">
        <v>1327</v>
      </c>
      <c r="D57" s="383"/>
      <c r="E57" s="383"/>
      <c r="F57" s="383"/>
      <c r="G57" s="383"/>
      <c r="H57" s="383"/>
      <c r="I57" s="383"/>
      <c r="J57" s="383"/>
      <c r="K57" s="383"/>
    </row>
    <row r="58" spans="1:11" ht="35.25" customHeight="1" x14ac:dyDescent="0.25">
      <c r="C58" s="382" t="s">
        <v>1333</v>
      </c>
      <c r="D58" s="383"/>
      <c r="E58" s="383"/>
      <c r="F58" s="383"/>
      <c r="G58" s="383"/>
      <c r="H58" s="383"/>
      <c r="I58" s="383"/>
      <c r="J58" s="383"/>
      <c r="K58" s="383"/>
    </row>
    <row r="59" spans="1:11" ht="17.25" x14ac:dyDescent="0.3">
      <c r="B59" s="19" t="s">
        <v>1319</v>
      </c>
    </row>
    <row r="60" spans="1:11" x14ac:dyDescent="0.25">
      <c r="C60" s="382" t="s">
        <v>1331</v>
      </c>
      <c r="D60" s="383"/>
      <c r="E60" s="383"/>
      <c r="F60" s="383"/>
      <c r="G60" s="383"/>
      <c r="H60" s="383"/>
      <c r="I60" s="383"/>
      <c r="J60" s="383"/>
      <c r="K60" s="383"/>
    </row>
    <row r="61" spans="1:11" ht="34.5" customHeight="1" x14ac:dyDescent="0.25">
      <c r="C61" s="382" t="s">
        <v>1332</v>
      </c>
      <c r="D61" s="383"/>
      <c r="E61" s="383"/>
      <c r="F61" s="383"/>
      <c r="G61" s="383"/>
      <c r="H61" s="383"/>
      <c r="I61" s="383"/>
      <c r="J61" s="383"/>
      <c r="K61" s="383"/>
    </row>
    <row r="62" spans="1:11" ht="24" customHeight="1" x14ac:dyDescent="0.25">
      <c r="C62" s="382" t="s">
        <v>1330</v>
      </c>
      <c r="D62" s="383"/>
      <c r="E62" s="383"/>
      <c r="F62" s="383"/>
      <c r="G62" s="383"/>
      <c r="H62" s="383"/>
      <c r="I62" s="383"/>
      <c r="J62" s="383"/>
      <c r="K62" s="383"/>
    </row>
    <row r="63" spans="1:11" ht="17.25" x14ac:dyDescent="0.3">
      <c r="B63" s="19" t="s">
        <v>1323</v>
      </c>
    </row>
    <row r="64" spans="1:11" ht="34.5" customHeight="1" x14ac:dyDescent="0.3">
      <c r="B64" s="19"/>
      <c r="C64" s="382" t="s">
        <v>1329</v>
      </c>
      <c r="D64" s="383"/>
      <c r="E64" s="383"/>
      <c r="F64" s="383"/>
      <c r="G64" s="383"/>
      <c r="H64" s="383"/>
      <c r="I64" s="383"/>
      <c r="J64" s="383"/>
      <c r="K64" s="383"/>
    </row>
    <row r="65" spans="1:11" ht="22.5" customHeight="1" x14ac:dyDescent="0.25">
      <c r="C65" s="382" t="s">
        <v>1328</v>
      </c>
      <c r="D65" s="383"/>
      <c r="E65" s="383"/>
      <c r="F65" s="383"/>
      <c r="G65" s="383"/>
      <c r="H65" s="383"/>
      <c r="I65" s="383"/>
      <c r="J65" s="383"/>
      <c r="K65" s="383"/>
    </row>
    <row r="66" spans="1:11" ht="23.25" x14ac:dyDescent="0.35">
      <c r="A66" s="81" t="s">
        <v>1310</v>
      </c>
      <c r="B66" s="46"/>
    </row>
    <row r="67" spans="1:11" x14ac:dyDescent="0.25">
      <c r="C67" s="306" t="s">
        <v>1334</v>
      </c>
    </row>
    <row r="68" spans="1:11" x14ac:dyDescent="0.25">
      <c r="C68" s="306" t="s">
        <v>1335</v>
      </c>
    </row>
    <row r="69" spans="1:11" x14ac:dyDescent="0.25">
      <c r="C69" s="306" t="s">
        <v>1336</v>
      </c>
    </row>
    <row r="71" spans="1:11" ht="23.25" x14ac:dyDescent="0.35">
      <c r="A71" s="81" t="s">
        <v>1281</v>
      </c>
    </row>
    <row r="72" spans="1:11" x14ac:dyDescent="0.25">
      <c r="C72" s="381" t="s">
        <v>1311</v>
      </c>
      <c r="D72" s="381"/>
      <c r="E72" s="381"/>
      <c r="F72" s="381"/>
      <c r="G72" s="381"/>
      <c r="H72" s="381"/>
      <c r="I72" s="381"/>
      <c r="J72" s="381"/>
      <c r="K72" s="381"/>
    </row>
    <row r="73" spans="1:11" ht="62.25" customHeight="1" x14ac:dyDescent="0.25">
      <c r="C73" s="382" t="s">
        <v>1312</v>
      </c>
      <c r="D73" s="383"/>
      <c r="E73" s="383"/>
      <c r="F73" s="383"/>
      <c r="G73" s="383"/>
      <c r="H73" s="383"/>
      <c r="I73" s="383"/>
      <c r="J73" s="383"/>
      <c r="K73" s="383"/>
    </row>
    <row r="74" spans="1:11" ht="33" customHeight="1" x14ac:dyDescent="0.25">
      <c r="C74" s="382" t="s">
        <v>1313</v>
      </c>
      <c r="D74" s="382"/>
      <c r="E74" s="382"/>
      <c r="F74" s="382"/>
      <c r="G74" s="382"/>
      <c r="H74" s="382"/>
      <c r="I74" s="382"/>
      <c r="J74" s="382"/>
      <c r="K74" s="382"/>
    </row>
    <row r="76" spans="1:11" ht="23.25" x14ac:dyDescent="0.35">
      <c r="A76" s="81" t="s">
        <v>32</v>
      </c>
    </row>
    <row r="77" spans="1:11" x14ac:dyDescent="0.25">
      <c r="C77" s="195" t="s">
        <v>1301</v>
      </c>
    </row>
    <row r="78" spans="1:11" x14ac:dyDescent="0.25">
      <c r="C78" s="305" t="s">
        <v>1302</v>
      </c>
    </row>
    <row r="79" spans="1:11" x14ac:dyDescent="0.25">
      <c r="C79" s="305" t="s">
        <v>1303</v>
      </c>
    </row>
    <row r="80" spans="1:11" x14ac:dyDescent="0.25">
      <c r="C80" s="195" t="s">
        <v>1304</v>
      </c>
    </row>
    <row r="81" spans="3:3" x14ac:dyDescent="0.25">
      <c r="C81" s="305" t="s">
        <v>1309</v>
      </c>
    </row>
    <row r="82" spans="3:3" x14ac:dyDescent="0.25">
      <c r="C82" s="305" t="s">
        <v>1305</v>
      </c>
    </row>
    <row r="83" spans="3:3" x14ac:dyDescent="0.25">
      <c r="C83" s="195" t="s">
        <v>1306</v>
      </c>
    </row>
    <row r="84" spans="3:3" x14ac:dyDescent="0.25">
      <c r="C84" s="305" t="s">
        <v>1307</v>
      </c>
    </row>
    <row r="85" spans="3:3" x14ac:dyDescent="0.25">
      <c r="C85" s="305" t="s">
        <v>1308</v>
      </c>
    </row>
  </sheetData>
  <mergeCells count="31">
    <mergeCell ref="B2:G2"/>
    <mergeCell ref="B3:G3"/>
    <mergeCell ref="C53:K53"/>
    <mergeCell ref="C54:K54"/>
    <mergeCell ref="C57:K57"/>
    <mergeCell ref="C10:F10"/>
    <mergeCell ref="H10:K10"/>
    <mergeCell ref="B13:K13"/>
    <mergeCell ref="B14:K14"/>
    <mergeCell ref="B15:K15"/>
    <mergeCell ref="B5:K5"/>
    <mergeCell ref="B6:K6"/>
    <mergeCell ref="C17:F17"/>
    <mergeCell ref="H17:K17"/>
    <mergeCell ref="B8:K8"/>
    <mergeCell ref="B9:K9"/>
    <mergeCell ref="C72:K72"/>
    <mergeCell ref="C73:K73"/>
    <mergeCell ref="C74:K74"/>
    <mergeCell ref="D33:F33"/>
    <mergeCell ref="I33:K33"/>
    <mergeCell ref="D37:F37"/>
    <mergeCell ref="I37:K37"/>
    <mergeCell ref="C60:K60"/>
    <mergeCell ref="C49:K49"/>
    <mergeCell ref="C65:K65"/>
    <mergeCell ref="C55:K55"/>
    <mergeCell ref="C64:K64"/>
    <mergeCell ref="C62:K62"/>
    <mergeCell ref="C61:K61"/>
    <mergeCell ref="C58:K58"/>
  </mergeCells>
  <pageMargins left="0.7" right="0.7" top="0.75" bottom="0.75" header="0.3" footer="0.3"/>
  <drawing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FE41-26B0-41A4-82E0-B9CC48BCF38F}">
  <sheetPr codeName="Sheet12">
    <tabColor theme="9" tint="-0.249977111117893"/>
  </sheetPr>
  <dimension ref="A1:J93"/>
  <sheetViews>
    <sheetView showGridLines="0" workbookViewId="0"/>
  </sheetViews>
  <sheetFormatPr defaultColWidth="8.875" defaultRowHeight="15.75" x14ac:dyDescent="0.25"/>
  <cols>
    <col min="1" max="1" width="4.375" customWidth="1"/>
    <col min="2" max="2" width="22.5" customWidth="1"/>
    <col min="3" max="3" width="18.5" customWidth="1"/>
    <col min="4" max="4" width="17.625" customWidth="1"/>
    <col min="5" max="5" width="12.125" customWidth="1"/>
    <col min="6" max="6" width="12.625" customWidth="1"/>
    <col min="7" max="8" width="13.875" customWidth="1"/>
  </cols>
  <sheetData>
    <row r="1" spans="1:10" ht="31.5" x14ac:dyDescent="0.5">
      <c r="A1" s="2" t="s">
        <v>122</v>
      </c>
    </row>
    <row r="2" spans="1:10" ht="147.75" customHeight="1" x14ac:dyDescent="0.25">
      <c r="B2" s="372" t="s">
        <v>628</v>
      </c>
      <c r="C2" s="372"/>
      <c r="D2" s="372"/>
      <c r="E2" s="372"/>
      <c r="F2" s="372"/>
      <c r="G2" s="372"/>
      <c r="H2" s="372"/>
      <c r="I2" s="372"/>
      <c r="J2" s="372"/>
    </row>
    <row r="3" spans="1:10" ht="20.25" thickBot="1" x14ac:dyDescent="0.35">
      <c r="A3" s="3" t="s">
        <v>629</v>
      </c>
    </row>
    <row r="4" spans="1:10" ht="17.25" thickTop="1" thickBot="1" x14ac:dyDescent="0.3">
      <c r="B4" t="s">
        <v>630</v>
      </c>
    </row>
    <row r="5" spans="1:10" ht="16.5" thickBot="1" x14ac:dyDescent="0.3">
      <c r="B5" s="17" t="s">
        <v>631</v>
      </c>
      <c r="C5" s="14" t="s">
        <v>632</v>
      </c>
      <c r="F5" s="37" t="s">
        <v>633</v>
      </c>
    </row>
    <row r="6" spans="1:10" x14ac:dyDescent="0.25">
      <c r="B6" s="17" t="s">
        <v>634</v>
      </c>
      <c r="C6">
        <f>MATCH(C5,Companies[Name],0)</f>
        <v>10</v>
      </c>
    </row>
    <row r="7" spans="1:10" ht="20.25" thickBot="1" x14ac:dyDescent="0.35">
      <c r="A7" s="3" t="s">
        <v>635</v>
      </c>
    </row>
    <row r="8" spans="1:10" ht="16.5" thickTop="1" x14ac:dyDescent="0.25"/>
    <row r="9" spans="1:10" x14ac:dyDescent="0.25">
      <c r="B9" s="17" t="s">
        <v>636</v>
      </c>
      <c r="C9" s="27" t="str">
        <f>INDEX(Companies[Name],$C$6)</f>
        <v>Berkshire Hathaway</v>
      </c>
    </row>
    <row r="10" spans="1:10" x14ac:dyDescent="0.25">
      <c r="B10" s="17" t="s">
        <v>637</v>
      </c>
      <c r="C10" s="28">
        <f>INDEX(Companies[Employees],$C$6)</f>
        <v>377000</v>
      </c>
    </row>
    <row r="11" spans="1:10" x14ac:dyDescent="0.25">
      <c r="B11" s="17" t="s">
        <v>638</v>
      </c>
      <c r="C11" s="27" t="str">
        <f>INDEX(Companies[First Name],$C$6)</f>
        <v>Cristian</v>
      </c>
    </row>
    <row r="12" spans="1:10" x14ac:dyDescent="0.25">
      <c r="B12" s="17" t="s">
        <v>639</v>
      </c>
      <c r="C12" s="27" t="str">
        <f>INDEX(Companies[Last Name],$C$6)</f>
        <v>Kane</v>
      </c>
    </row>
    <row r="13" spans="1:10" x14ac:dyDescent="0.25">
      <c r="B13" s="17" t="s">
        <v>640</v>
      </c>
      <c r="C13" s="27" t="str">
        <f>INDEX(Companies[Industry],$C$6)</f>
        <v>Financials</v>
      </c>
    </row>
    <row r="14" spans="1:10" ht="31.5" x14ac:dyDescent="0.25">
      <c r="B14" s="17" t="s">
        <v>641</v>
      </c>
      <c r="C14" s="29">
        <f>INDEX(Industries[Savings Ratio],MATCH(C13,Industries[Industry],0))</f>
        <v>0.93</v>
      </c>
    </row>
    <row r="15" spans="1:10" ht="16.5" thickBot="1" x14ac:dyDescent="0.3"/>
    <row r="16" spans="1:10" ht="32.25" thickBot="1" x14ac:dyDescent="0.3">
      <c r="C16" s="32" t="s">
        <v>642</v>
      </c>
      <c r="D16" s="32" t="s">
        <v>643</v>
      </c>
    </row>
    <row r="17" spans="1:8" x14ac:dyDescent="0.25">
      <c r="B17" s="17" t="s">
        <v>644</v>
      </c>
      <c r="C17" s="30">
        <f>1000*$C$14</f>
        <v>930</v>
      </c>
      <c r="D17" s="31">
        <f>C17*$C$10/1000000</f>
        <v>350.61</v>
      </c>
    </row>
    <row r="18" spans="1:8" x14ac:dyDescent="0.25">
      <c r="B18" s="17" t="s">
        <v>645</v>
      </c>
      <c r="C18" s="30">
        <v>300</v>
      </c>
      <c r="D18" s="31">
        <f>C18*$C$10/1000000</f>
        <v>113.1</v>
      </c>
    </row>
    <row r="19" spans="1:8" x14ac:dyDescent="0.25">
      <c r="B19" s="17" t="s">
        <v>646</v>
      </c>
      <c r="C19" s="30">
        <v>200</v>
      </c>
      <c r="D19" s="31">
        <f>C19*$C$10/1000000</f>
        <v>75.400000000000006</v>
      </c>
    </row>
    <row r="20" spans="1:8" x14ac:dyDescent="0.25">
      <c r="B20" s="37" t="s">
        <v>647</v>
      </c>
    </row>
    <row r="22" spans="1:8" ht="59.25" customHeight="1" x14ac:dyDescent="0.25">
      <c r="B22" s="18" t="s">
        <v>648</v>
      </c>
      <c r="C22" s="397" t="str">
        <f>"Based on our analysis, we believe "&amp;C9&amp;" could save $"&amp;TEXT(D17,"#,##0")&amp;" billion by purchasing our solution. Act today and you can purchase it for only $"&amp;TEXT(D19,"#,##0")&amp;" billion."</f>
        <v>Based on our analysis, we believe Berkshire Hathaway could save $351 billion by purchasing our solution. Act today and you can purchase it for only $75 billion.</v>
      </c>
      <c r="D22" s="398"/>
      <c r="E22" s="399"/>
    </row>
    <row r="24" spans="1:8" ht="20.25" thickBot="1" x14ac:dyDescent="0.35">
      <c r="A24" s="3" t="s">
        <v>649</v>
      </c>
    </row>
    <row r="25" spans="1:8" ht="18" thickTop="1" x14ac:dyDescent="0.3">
      <c r="A25" s="19" t="s">
        <v>650</v>
      </c>
    </row>
    <row r="26" spans="1:8" x14ac:dyDescent="0.25">
      <c r="B26" t="s">
        <v>651</v>
      </c>
      <c r="C26" t="s">
        <v>640</v>
      </c>
      <c r="D26" t="s">
        <v>339</v>
      </c>
      <c r="E26" t="s">
        <v>637</v>
      </c>
      <c r="F26" t="s">
        <v>421</v>
      </c>
      <c r="G26" t="s">
        <v>652</v>
      </c>
      <c r="H26" t="s">
        <v>653</v>
      </c>
    </row>
    <row r="27" spans="1:8" x14ac:dyDescent="0.25">
      <c r="B27" t="s">
        <v>654</v>
      </c>
      <c r="C27" t="s">
        <v>655</v>
      </c>
      <c r="D27" s="15">
        <v>500343</v>
      </c>
      <c r="E27" s="16">
        <v>2300000</v>
      </c>
      <c r="F27" t="s">
        <v>656</v>
      </c>
      <c r="G27" t="s">
        <v>657</v>
      </c>
      <c r="H27" t="s">
        <v>658</v>
      </c>
    </row>
    <row r="28" spans="1:8" x14ac:dyDescent="0.25">
      <c r="B28" t="s">
        <v>659</v>
      </c>
      <c r="C28" t="s">
        <v>660</v>
      </c>
      <c r="D28" s="15">
        <v>348903</v>
      </c>
      <c r="E28" s="16">
        <v>913546</v>
      </c>
      <c r="F28" t="s">
        <v>661</v>
      </c>
      <c r="G28" t="s">
        <v>662</v>
      </c>
      <c r="H28" t="s">
        <v>663</v>
      </c>
    </row>
    <row r="29" spans="1:8" x14ac:dyDescent="0.25">
      <c r="B29" t="s">
        <v>664</v>
      </c>
      <c r="C29" t="s">
        <v>665</v>
      </c>
      <c r="D29" s="15">
        <v>326953</v>
      </c>
      <c r="E29" s="16">
        <v>667793</v>
      </c>
      <c r="F29" t="s">
        <v>661</v>
      </c>
      <c r="G29" t="s">
        <v>666</v>
      </c>
      <c r="H29" t="s">
        <v>667</v>
      </c>
    </row>
    <row r="30" spans="1:8" x14ac:dyDescent="0.25">
      <c r="B30" t="s">
        <v>668</v>
      </c>
      <c r="C30" t="s">
        <v>665</v>
      </c>
      <c r="D30" s="15">
        <v>326008</v>
      </c>
      <c r="E30" s="16">
        <v>1470193</v>
      </c>
      <c r="F30" t="s">
        <v>661</v>
      </c>
      <c r="G30" t="s">
        <v>669</v>
      </c>
      <c r="H30" t="s">
        <v>670</v>
      </c>
    </row>
    <row r="31" spans="1:8" x14ac:dyDescent="0.25">
      <c r="B31" t="s">
        <v>671</v>
      </c>
      <c r="C31" t="s">
        <v>665</v>
      </c>
      <c r="D31" s="15">
        <v>311870</v>
      </c>
      <c r="E31" s="16">
        <v>84000</v>
      </c>
      <c r="F31" t="s">
        <v>672</v>
      </c>
      <c r="G31" t="s">
        <v>673</v>
      </c>
      <c r="H31" t="s">
        <v>674</v>
      </c>
    </row>
    <row r="32" spans="1:8" x14ac:dyDescent="0.25">
      <c r="B32" t="s">
        <v>675</v>
      </c>
      <c r="C32" t="s">
        <v>676</v>
      </c>
      <c r="D32" s="15">
        <v>265172</v>
      </c>
      <c r="E32" s="16">
        <v>369124</v>
      </c>
      <c r="F32" t="s">
        <v>677</v>
      </c>
      <c r="G32" t="s">
        <v>678</v>
      </c>
      <c r="H32" t="s">
        <v>679</v>
      </c>
    </row>
    <row r="33" spans="2:8" x14ac:dyDescent="0.25">
      <c r="B33" t="s">
        <v>680</v>
      </c>
      <c r="C33" t="s">
        <v>676</v>
      </c>
      <c r="D33" s="15">
        <v>260028</v>
      </c>
      <c r="E33" s="16">
        <v>642292</v>
      </c>
      <c r="F33" t="s">
        <v>681</v>
      </c>
      <c r="G33" t="s">
        <v>682</v>
      </c>
      <c r="H33" t="s">
        <v>683</v>
      </c>
    </row>
    <row r="34" spans="2:8" x14ac:dyDescent="0.25">
      <c r="B34" t="s">
        <v>684</v>
      </c>
      <c r="C34" t="s">
        <v>665</v>
      </c>
      <c r="D34" s="15">
        <v>244582</v>
      </c>
      <c r="E34" s="16">
        <v>74000</v>
      </c>
      <c r="F34" t="s">
        <v>685</v>
      </c>
      <c r="G34" t="s">
        <v>686</v>
      </c>
      <c r="H34" t="s">
        <v>687</v>
      </c>
    </row>
    <row r="35" spans="2:8" x14ac:dyDescent="0.25">
      <c r="B35" t="s">
        <v>688</v>
      </c>
      <c r="C35" t="s">
        <v>665</v>
      </c>
      <c r="D35" s="15">
        <v>244363</v>
      </c>
      <c r="E35" s="16">
        <v>71200</v>
      </c>
      <c r="F35" t="s">
        <v>656</v>
      </c>
      <c r="G35" t="s">
        <v>689</v>
      </c>
      <c r="H35" t="s">
        <v>690</v>
      </c>
    </row>
    <row r="36" spans="2:8" x14ac:dyDescent="0.25">
      <c r="B36" t="s">
        <v>632</v>
      </c>
      <c r="C36" t="s">
        <v>691</v>
      </c>
      <c r="D36" s="15">
        <v>242137</v>
      </c>
      <c r="E36" s="16">
        <v>377000</v>
      </c>
      <c r="F36" t="s">
        <v>656</v>
      </c>
      <c r="G36" t="s">
        <v>692</v>
      </c>
      <c r="H36" t="s">
        <v>693</v>
      </c>
    </row>
    <row r="37" spans="2:8" x14ac:dyDescent="0.25">
      <c r="B37" t="s">
        <v>694</v>
      </c>
      <c r="C37" t="s">
        <v>695</v>
      </c>
      <c r="D37" s="15">
        <v>229234</v>
      </c>
      <c r="E37" s="16">
        <v>123000</v>
      </c>
      <c r="F37" t="s">
        <v>656</v>
      </c>
      <c r="G37" t="s">
        <v>696</v>
      </c>
      <c r="H37" t="s">
        <v>697</v>
      </c>
    </row>
    <row r="38" spans="2:8" x14ac:dyDescent="0.25">
      <c r="B38" t="s">
        <v>698</v>
      </c>
      <c r="C38" t="s">
        <v>695</v>
      </c>
      <c r="D38" s="15">
        <v>211940</v>
      </c>
      <c r="E38" s="16">
        <v>320671</v>
      </c>
      <c r="F38" t="s">
        <v>699</v>
      </c>
      <c r="G38" t="s">
        <v>700</v>
      </c>
      <c r="H38" t="s">
        <v>701</v>
      </c>
    </row>
    <row r="39" spans="2:8" x14ac:dyDescent="0.25">
      <c r="B39" t="s">
        <v>702</v>
      </c>
      <c r="C39" t="s">
        <v>703</v>
      </c>
      <c r="D39" s="15">
        <v>208357</v>
      </c>
      <c r="E39" s="16">
        <v>68000</v>
      </c>
      <c r="F39" t="s">
        <v>656</v>
      </c>
      <c r="G39" t="s">
        <v>704</v>
      </c>
      <c r="H39" t="s">
        <v>705</v>
      </c>
    </row>
    <row r="40" spans="2:8" x14ac:dyDescent="0.25">
      <c r="B40" t="s">
        <v>706</v>
      </c>
      <c r="C40" t="s">
        <v>707</v>
      </c>
      <c r="D40" s="15">
        <v>205476</v>
      </c>
      <c r="E40" s="16">
        <v>82681</v>
      </c>
      <c r="F40" t="s">
        <v>708</v>
      </c>
      <c r="G40" t="s">
        <v>709</v>
      </c>
      <c r="H40" t="s">
        <v>710</v>
      </c>
    </row>
    <row r="41" spans="2:8" x14ac:dyDescent="0.25">
      <c r="B41" t="s">
        <v>711</v>
      </c>
      <c r="C41" t="s">
        <v>703</v>
      </c>
      <c r="D41" s="15">
        <v>201159</v>
      </c>
      <c r="E41" s="16">
        <v>260000</v>
      </c>
      <c r="F41" t="s">
        <v>656</v>
      </c>
      <c r="G41" t="s">
        <v>712</v>
      </c>
      <c r="H41" t="s">
        <v>713</v>
      </c>
    </row>
    <row r="42" spans="2:8" x14ac:dyDescent="0.25">
      <c r="B42" t="s">
        <v>714</v>
      </c>
      <c r="C42" t="s">
        <v>676</v>
      </c>
      <c r="D42" s="15">
        <v>185235</v>
      </c>
      <c r="E42" s="16">
        <v>289321</v>
      </c>
      <c r="F42" t="s">
        <v>681</v>
      </c>
      <c r="G42" t="s">
        <v>715</v>
      </c>
      <c r="H42" t="s">
        <v>716</v>
      </c>
    </row>
    <row r="43" spans="2:8" x14ac:dyDescent="0.25">
      <c r="B43" t="s">
        <v>717</v>
      </c>
      <c r="C43" t="s">
        <v>703</v>
      </c>
      <c r="D43" s="15">
        <v>184765</v>
      </c>
      <c r="E43" s="16">
        <v>203000</v>
      </c>
      <c r="F43" t="s">
        <v>656</v>
      </c>
      <c r="G43" t="s">
        <v>718</v>
      </c>
      <c r="H43" t="s">
        <v>719</v>
      </c>
    </row>
    <row r="44" spans="2:8" x14ac:dyDescent="0.25">
      <c r="B44" t="s">
        <v>720</v>
      </c>
      <c r="C44" t="s">
        <v>655</v>
      </c>
      <c r="D44" s="15">
        <v>177866</v>
      </c>
      <c r="E44" s="16">
        <v>566000</v>
      </c>
      <c r="F44" t="s">
        <v>656</v>
      </c>
      <c r="G44" t="s">
        <v>721</v>
      </c>
      <c r="H44" t="s">
        <v>722</v>
      </c>
    </row>
    <row r="45" spans="2:8" x14ac:dyDescent="0.25">
      <c r="B45" t="s">
        <v>723</v>
      </c>
      <c r="C45" t="s">
        <v>691</v>
      </c>
      <c r="D45" s="15">
        <v>161677</v>
      </c>
      <c r="E45" s="16">
        <v>307637</v>
      </c>
      <c r="F45" t="s">
        <v>724</v>
      </c>
      <c r="G45" t="s">
        <v>725</v>
      </c>
      <c r="H45" t="s">
        <v>726</v>
      </c>
    </row>
    <row r="46" spans="2:8" x14ac:dyDescent="0.25">
      <c r="B46" t="s">
        <v>727</v>
      </c>
      <c r="C46" t="s">
        <v>728</v>
      </c>
      <c r="D46" s="15">
        <v>160546</v>
      </c>
      <c r="E46" s="16">
        <v>254000</v>
      </c>
      <c r="F46" t="s">
        <v>656</v>
      </c>
      <c r="G46" t="s">
        <v>729</v>
      </c>
      <c r="H46" t="s">
        <v>730</v>
      </c>
    </row>
    <row r="47" spans="2:8" x14ac:dyDescent="0.25">
      <c r="B47" t="s">
        <v>731</v>
      </c>
      <c r="C47" t="s">
        <v>676</v>
      </c>
      <c r="D47" s="15">
        <v>157311</v>
      </c>
      <c r="E47" s="16">
        <v>180000</v>
      </c>
      <c r="F47" t="s">
        <v>656</v>
      </c>
      <c r="G47" t="s">
        <v>732</v>
      </c>
      <c r="H47" t="s">
        <v>733</v>
      </c>
    </row>
    <row r="48" spans="2:8" x14ac:dyDescent="0.25">
      <c r="B48" t="s">
        <v>734</v>
      </c>
      <c r="C48" t="s">
        <v>676</v>
      </c>
      <c r="D48" s="15">
        <v>156776</v>
      </c>
      <c r="E48" s="16">
        <v>202000</v>
      </c>
      <c r="F48" t="s">
        <v>656</v>
      </c>
      <c r="G48" t="s">
        <v>735</v>
      </c>
      <c r="H48" t="s">
        <v>736</v>
      </c>
    </row>
    <row r="49" spans="2:8" x14ac:dyDescent="0.25">
      <c r="B49" t="s">
        <v>737</v>
      </c>
      <c r="C49" t="s">
        <v>738</v>
      </c>
      <c r="D49" s="15">
        <v>156071</v>
      </c>
      <c r="E49" s="16">
        <v>270467</v>
      </c>
      <c r="F49" t="s">
        <v>661</v>
      </c>
      <c r="G49" t="s">
        <v>739</v>
      </c>
      <c r="H49" t="s">
        <v>740</v>
      </c>
    </row>
    <row r="50" spans="2:8" x14ac:dyDescent="0.25">
      <c r="B50" t="s">
        <v>741</v>
      </c>
      <c r="C50" t="s">
        <v>695</v>
      </c>
      <c r="D50" s="15">
        <v>154699</v>
      </c>
      <c r="E50" s="16">
        <v>803126</v>
      </c>
      <c r="F50" t="s">
        <v>742</v>
      </c>
      <c r="G50" t="s">
        <v>743</v>
      </c>
      <c r="H50" t="s">
        <v>744</v>
      </c>
    </row>
    <row r="51" spans="2:8" x14ac:dyDescent="0.25">
      <c r="B51" t="s">
        <v>745</v>
      </c>
      <c r="C51" t="s">
        <v>746</v>
      </c>
      <c r="D51" s="15">
        <v>153144</v>
      </c>
      <c r="E51" s="16">
        <v>19500</v>
      </c>
      <c r="F51" t="s">
        <v>656</v>
      </c>
      <c r="G51" t="s">
        <v>747</v>
      </c>
      <c r="H51" t="s">
        <v>748</v>
      </c>
    </row>
    <row r="52" spans="2:8" x14ac:dyDescent="0.25">
      <c r="B52" t="s">
        <v>749</v>
      </c>
      <c r="C52" t="s">
        <v>691</v>
      </c>
      <c r="D52" s="15">
        <v>153021</v>
      </c>
      <c r="E52" s="16">
        <v>453048</v>
      </c>
      <c r="F52" t="s">
        <v>661</v>
      </c>
      <c r="G52" t="s">
        <v>750</v>
      </c>
      <c r="H52" t="s">
        <v>751</v>
      </c>
    </row>
    <row r="53" spans="2:8" x14ac:dyDescent="0.25">
      <c r="B53" t="s">
        <v>752</v>
      </c>
      <c r="C53" t="s">
        <v>691</v>
      </c>
      <c r="D53" s="15">
        <v>149461</v>
      </c>
      <c r="E53" s="16">
        <v>95728</v>
      </c>
      <c r="F53" t="s">
        <v>753</v>
      </c>
      <c r="G53" t="s">
        <v>754</v>
      </c>
      <c r="H53" t="s">
        <v>755</v>
      </c>
    </row>
    <row r="54" spans="2:8" x14ac:dyDescent="0.25">
      <c r="B54" t="s">
        <v>30</v>
      </c>
      <c r="C54" t="s">
        <v>665</v>
      </c>
      <c r="D54" s="15">
        <v>149099</v>
      </c>
      <c r="E54" s="16">
        <v>98277</v>
      </c>
      <c r="F54" t="s">
        <v>753</v>
      </c>
      <c r="G54" t="s">
        <v>756</v>
      </c>
      <c r="H54" t="s">
        <v>757</v>
      </c>
    </row>
    <row r="55" spans="2:8" x14ac:dyDescent="0.25">
      <c r="B55" t="s">
        <v>758</v>
      </c>
      <c r="C55" t="s">
        <v>691</v>
      </c>
      <c r="D55" s="15">
        <v>144197</v>
      </c>
      <c r="E55" s="16">
        <v>342550</v>
      </c>
      <c r="F55" t="s">
        <v>661</v>
      </c>
      <c r="G55" t="s">
        <v>759</v>
      </c>
      <c r="H55" t="s">
        <v>760</v>
      </c>
    </row>
    <row r="56" spans="2:8" x14ac:dyDescent="0.25">
      <c r="B56" t="s">
        <v>761</v>
      </c>
      <c r="C56" t="s">
        <v>676</v>
      </c>
      <c r="D56" s="15">
        <v>138646</v>
      </c>
      <c r="E56" s="16">
        <v>215638</v>
      </c>
      <c r="F56" t="s">
        <v>677</v>
      </c>
      <c r="G56" t="s">
        <v>762</v>
      </c>
      <c r="H56" t="s">
        <v>763</v>
      </c>
    </row>
    <row r="57" spans="2:8" x14ac:dyDescent="0.25">
      <c r="B57" t="s">
        <v>764</v>
      </c>
      <c r="C57" t="s">
        <v>691</v>
      </c>
      <c r="D57" s="15">
        <v>138594</v>
      </c>
      <c r="E57" s="16">
        <v>370415</v>
      </c>
      <c r="F57" t="s">
        <v>661</v>
      </c>
      <c r="G57" t="s">
        <v>765</v>
      </c>
      <c r="H57" t="s">
        <v>766</v>
      </c>
    </row>
    <row r="58" spans="2:8" x14ac:dyDescent="0.25">
      <c r="B58" t="s">
        <v>767</v>
      </c>
      <c r="C58" t="s">
        <v>768</v>
      </c>
      <c r="D58" s="15">
        <v>136421</v>
      </c>
      <c r="E58" s="16">
        <v>3935</v>
      </c>
      <c r="F58" t="s">
        <v>769</v>
      </c>
      <c r="G58" t="s">
        <v>770</v>
      </c>
      <c r="H58" t="s">
        <v>771</v>
      </c>
    </row>
    <row r="59" spans="2:8" x14ac:dyDescent="0.25">
      <c r="B59" t="s">
        <v>772</v>
      </c>
      <c r="C59" t="s">
        <v>665</v>
      </c>
      <c r="D59" s="15">
        <v>134533</v>
      </c>
      <c r="E59" s="16">
        <v>51900</v>
      </c>
      <c r="F59" t="s">
        <v>656</v>
      </c>
      <c r="G59" t="s">
        <v>773</v>
      </c>
      <c r="H59" t="s">
        <v>774</v>
      </c>
    </row>
    <row r="60" spans="2:8" x14ac:dyDescent="0.25">
      <c r="B60" t="s">
        <v>775</v>
      </c>
      <c r="C60" t="s">
        <v>746</v>
      </c>
      <c r="D60" s="15">
        <v>129976</v>
      </c>
      <c r="E60" s="16">
        <v>40400</v>
      </c>
      <c r="F60" t="s">
        <v>656</v>
      </c>
      <c r="G60" t="s">
        <v>776</v>
      </c>
      <c r="H60" t="s">
        <v>777</v>
      </c>
    </row>
    <row r="61" spans="2:8" x14ac:dyDescent="0.25">
      <c r="B61" t="s">
        <v>778</v>
      </c>
      <c r="C61" t="s">
        <v>655</v>
      </c>
      <c r="D61" s="15">
        <v>129025</v>
      </c>
      <c r="E61" s="16">
        <v>182000</v>
      </c>
      <c r="F61" t="s">
        <v>656</v>
      </c>
      <c r="G61" t="s">
        <v>779</v>
      </c>
      <c r="H61" t="s">
        <v>780</v>
      </c>
    </row>
    <row r="62" spans="2:8" x14ac:dyDescent="0.25">
      <c r="B62" t="s">
        <v>781</v>
      </c>
      <c r="C62" t="s">
        <v>676</v>
      </c>
      <c r="D62" s="15">
        <v>128819</v>
      </c>
      <c r="E62" s="16">
        <v>148767</v>
      </c>
      <c r="F62" t="s">
        <v>661</v>
      </c>
      <c r="G62" t="s">
        <v>782</v>
      </c>
      <c r="H62" t="s">
        <v>783</v>
      </c>
    </row>
    <row r="63" spans="2:8" x14ac:dyDescent="0.25">
      <c r="B63" t="s">
        <v>784</v>
      </c>
      <c r="C63" t="s">
        <v>728</v>
      </c>
      <c r="D63" s="15">
        <v>126034</v>
      </c>
      <c r="E63" s="16">
        <v>155400</v>
      </c>
      <c r="F63" t="s">
        <v>656</v>
      </c>
      <c r="G63" t="s">
        <v>785</v>
      </c>
      <c r="H63" t="s">
        <v>786</v>
      </c>
    </row>
    <row r="64" spans="2:8" x14ac:dyDescent="0.25">
      <c r="B64" t="s">
        <v>787</v>
      </c>
      <c r="C64" t="s">
        <v>691</v>
      </c>
      <c r="D64" s="15">
        <v>123532</v>
      </c>
      <c r="E64" s="16">
        <v>140553</v>
      </c>
      <c r="F64" t="s">
        <v>681</v>
      </c>
      <c r="G64" t="s">
        <v>788</v>
      </c>
      <c r="H64" t="s">
        <v>789</v>
      </c>
    </row>
    <row r="65" spans="1:8" x14ac:dyDescent="0.25">
      <c r="B65" t="s">
        <v>790</v>
      </c>
      <c r="C65" t="s">
        <v>655</v>
      </c>
      <c r="D65" s="15">
        <v>122662</v>
      </c>
      <c r="E65" s="16">
        <v>449000</v>
      </c>
      <c r="F65" t="s">
        <v>656</v>
      </c>
      <c r="G65" t="s">
        <v>791</v>
      </c>
      <c r="H65" t="s">
        <v>792</v>
      </c>
    </row>
    <row r="66" spans="1:8" x14ac:dyDescent="0.25">
      <c r="B66" t="s">
        <v>793</v>
      </c>
      <c r="C66" t="s">
        <v>691</v>
      </c>
      <c r="D66" s="15">
        <v>122366</v>
      </c>
      <c r="E66" s="16">
        <v>491578</v>
      </c>
      <c r="F66" t="s">
        <v>661</v>
      </c>
      <c r="G66" t="s">
        <v>794</v>
      </c>
      <c r="H66" t="s">
        <v>795</v>
      </c>
    </row>
    <row r="67" spans="1:8" x14ac:dyDescent="0.25">
      <c r="B67" t="s">
        <v>796</v>
      </c>
      <c r="C67" t="s">
        <v>797</v>
      </c>
      <c r="D67" s="15">
        <v>122274</v>
      </c>
      <c r="E67" s="16">
        <v>313000</v>
      </c>
      <c r="F67" t="s">
        <v>656</v>
      </c>
      <c r="G67" t="s">
        <v>798</v>
      </c>
      <c r="H67" t="s">
        <v>799</v>
      </c>
    </row>
    <row r="68" spans="1:8" x14ac:dyDescent="0.25">
      <c r="B68" t="s">
        <v>800</v>
      </c>
      <c r="C68" t="s">
        <v>691</v>
      </c>
      <c r="D68" s="15">
        <v>120224</v>
      </c>
      <c r="E68" s="16">
        <v>170517</v>
      </c>
      <c r="F68" t="s">
        <v>661</v>
      </c>
      <c r="G68" t="s">
        <v>801</v>
      </c>
      <c r="H68" t="s">
        <v>802</v>
      </c>
    </row>
    <row r="69" spans="1:8" x14ac:dyDescent="0.25">
      <c r="B69" t="s">
        <v>803</v>
      </c>
      <c r="C69" t="s">
        <v>655</v>
      </c>
      <c r="D69" s="15">
        <v>118214</v>
      </c>
      <c r="E69" s="16">
        <v>290000</v>
      </c>
      <c r="F69" t="s">
        <v>656</v>
      </c>
      <c r="G69" t="s">
        <v>804</v>
      </c>
      <c r="H69" t="s">
        <v>805</v>
      </c>
    </row>
    <row r="70" spans="1:8" x14ac:dyDescent="0.25">
      <c r="B70" t="s">
        <v>806</v>
      </c>
      <c r="C70" t="s">
        <v>691</v>
      </c>
      <c r="D70" s="15">
        <v>117375</v>
      </c>
      <c r="E70" s="16">
        <v>189509</v>
      </c>
      <c r="F70" t="s">
        <v>753</v>
      </c>
      <c r="G70" t="s">
        <v>807</v>
      </c>
      <c r="H70" t="s">
        <v>808</v>
      </c>
    </row>
    <row r="71" spans="1:8" x14ac:dyDescent="0.25">
      <c r="B71" t="s">
        <v>809</v>
      </c>
      <c r="C71" t="s">
        <v>797</v>
      </c>
      <c r="D71" s="15">
        <v>116616</v>
      </c>
      <c r="E71" s="16">
        <v>245863</v>
      </c>
      <c r="F71" t="s">
        <v>677</v>
      </c>
      <c r="G71" t="s">
        <v>810</v>
      </c>
      <c r="H71" t="s">
        <v>811</v>
      </c>
    </row>
    <row r="72" spans="1:8" x14ac:dyDescent="0.25">
      <c r="B72" t="s">
        <v>812</v>
      </c>
      <c r="C72" t="s">
        <v>691</v>
      </c>
      <c r="D72" s="15">
        <v>115423</v>
      </c>
      <c r="E72" s="16">
        <v>311133</v>
      </c>
      <c r="F72" t="s">
        <v>661</v>
      </c>
      <c r="G72" t="s">
        <v>813</v>
      </c>
      <c r="H72" t="s">
        <v>814</v>
      </c>
    </row>
    <row r="73" spans="1:8" x14ac:dyDescent="0.25">
      <c r="B73" t="s">
        <v>815</v>
      </c>
      <c r="C73" t="s">
        <v>691</v>
      </c>
      <c r="D73" s="15">
        <v>113899</v>
      </c>
      <c r="E73" s="16">
        <v>252539</v>
      </c>
      <c r="F73" t="s">
        <v>656</v>
      </c>
      <c r="G73" t="s">
        <v>816</v>
      </c>
      <c r="H73" t="s">
        <v>817</v>
      </c>
    </row>
    <row r="74" spans="1:8" x14ac:dyDescent="0.25">
      <c r="B74" t="s">
        <v>818</v>
      </c>
      <c r="C74" t="s">
        <v>691</v>
      </c>
      <c r="D74" s="15">
        <v>112394</v>
      </c>
      <c r="E74" s="16">
        <v>7200</v>
      </c>
      <c r="F74" t="s">
        <v>656</v>
      </c>
      <c r="G74" t="s">
        <v>819</v>
      </c>
      <c r="H74" t="s">
        <v>820</v>
      </c>
    </row>
    <row r="75" spans="1:8" x14ac:dyDescent="0.25">
      <c r="B75" t="s">
        <v>821</v>
      </c>
      <c r="C75" t="s">
        <v>665</v>
      </c>
      <c r="D75" s="15">
        <v>111983</v>
      </c>
      <c r="E75" s="16">
        <v>469600</v>
      </c>
      <c r="F75" t="s">
        <v>822</v>
      </c>
      <c r="G75" t="s">
        <v>823</v>
      </c>
      <c r="H75" t="s">
        <v>824</v>
      </c>
    </row>
    <row r="76" spans="1:8" x14ac:dyDescent="0.25">
      <c r="B76" t="s">
        <v>825</v>
      </c>
      <c r="C76" t="s">
        <v>691</v>
      </c>
      <c r="D76" s="15">
        <v>111458</v>
      </c>
      <c r="E76" s="16">
        <v>24711</v>
      </c>
      <c r="F76" t="s">
        <v>685</v>
      </c>
      <c r="G76" t="s">
        <v>826</v>
      </c>
      <c r="H76" t="s">
        <v>827</v>
      </c>
    </row>
    <row r="78" spans="1:8" ht="17.25" x14ac:dyDescent="0.3">
      <c r="A78" s="19" t="s">
        <v>828</v>
      </c>
    </row>
    <row r="79" spans="1:8" x14ac:dyDescent="0.25">
      <c r="B79" t="s">
        <v>640</v>
      </c>
      <c r="C79" t="s">
        <v>829</v>
      </c>
    </row>
    <row r="80" spans="1:8" x14ac:dyDescent="0.25">
      <c r="B80" t="s">
        <v>655</v>
      </c>
      <c r="C80">
        <v>1.1000000000000001</v>
      </c>
    </row>
    <row r="81" spans="2:3" x14ac:dyDescent="0.25">
      <c r="B81" t="s">
        <v>660</v>
      </c>
      <c r="C81">
        <v>1.1299999999999999</v>
      </c>
    </row>
    <row r="82" spans="2:3" x14ac:dyDescent="0.25">
      <c r="B82" t="s">
        <v>665</v>
      </c>
      <c r="C82">
        <v>1.26</v>
      </c>
    </row>
    <row r="83" spans="2:3" x14ac:dyDescent="0.25">
      <c r="B83" t="s">
        <v>676</v>
      </c>
      <c r="C83">
        <v>0.72</v>
      </c>
    </row>
    <row r="84" spans="2:3" x14ac:dyDescent="0.25">
      <c r="B84" t="s">
        <v>691</v>
      </c>
      <c r="C84">
        <v>0.93</v>
      </c>
    </row>
    <row r="85" spans="2:3" x14ac:dyDescent="0.25">
      <c r="B85" t="s">
        <v>695</v>
      </c>
      <c r="C85">
        <v>1.1100000000000001</v>
      </c>
    </row>
    <row r="86" spans="2:3" x14ac:dyDescent="0.25">
      <c r="B86" t="s">
        <v>703</v>
      </c>
      <c r="C86">
        <v>1.1499999999999999</v>
      </c>
    </row>
    <row r="87" spans="2:3" x14ac:dyDescent="0.25">
      <c r="B87" t="s">
        <v>707</v>
      </c>
      <c r="C87">
        <v>1.51</v>
      </c>
    </row>
    <row r="88" spans="2:3" x14ac:dyDescent="0.25">
      <c r="B88" t="s">
        <v>655</v>
      </c>
      <c r="C88">
        <v>1.23</v>
      </c>
    </row>
    <row r="89" spans="2:3" x14ac:dyDescent="0.25">
      <c r="B89" t="s">
        <v>728</v>
      </c>
      <c r="C89">
        <v>1.62</v>
      </c>
    </row>
    <row r="90" spans="2:3" x14ac:dyDescent="0.25">
      <c r="B90" t="s">
        <v>738</v>
      </c>
      <c r="C90">
        <v>0.79</v>
      </c>
    </row>
    <row r="91" spans="2:3" x14ac:dyDescent="0.25">
      <c r="B91" t="s">
        <v>746</v>
      </c>
      <c r="C91">
        <v>0.95</v>
      </c>
    </row>
    <row r="92" spans="2:3" x14ac:dyDescent="0.25">
      <c r="B92" t="s">
        <v>768</v>
      </c>
      <c r="C92">
        <v>0.91</v>
      </c>
    </row>
    <row r="93" spans="2:3" x14ac:dyDescent="0.25">
      <c r="B93" t="s">
        <v>797</v>
      </c>
      <c r="C93">
        <v>1.22</v>
      </c>
    </row>
  </sheetData>
  <mergeCells count="2">
    <mergeCell ref="C22:E22"/>
    <mergeCell ref="B2:J2"/>
  </mergeCells>
  <dataValidations count="1">
    <dataValidation type="list" allowBlank="1" showInputMessage="1" showErrorMessage="1" sqref="C5" xr:uid="{CBEF81DA-EDF0-4B4D-A16D-A164437AAEA4}">
      <formula1>$B$27:$B$76</formula1>
    </dataValidation>
  </dataValidations>
  <pageMargins left="0.7" right="0.7" top="0.75" bottom="0.75" header="0.3" footer="0.3"/>
  <pageSetup orientation="portrait" horizontalDpi="0" verticalDpi="0"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D39D-56E0-49AB-9D73-64895132299F}">
  <sheetPr codeName="Sheet5">
    <tabColor theme="9" tint="-0.249977111117893"/>
  </sheetPr>
  <dimension ref="A1:E18"/>
  <sheetViews>
    <sheetView showGridLines="0" workbookViewId="0"/>
  </sheetViews>
  <sheetFormatPr defaultRowHeight="15.75" x14ac:dyDescent="0.25"/>
  <cols>
    <col min="1" max="1" width="2.25" customWidth="1"/>
    <col min="2" max="2" width="2" customWidth="1"/>
    <col min="3" max="3" width="31.125" customWidth="1"/>
    <col min="4" max="4" width="7.875" customWidth="1"/>
    <col min="5" max="5" width="55" customWidth="1"/>
  </cols>
  <sheetData>
    <row r="1" spans="1:5" ht="31.5" x14ac:dyDescent="0.5">
      <c r="A1" s="2" t="s">
        <v>830</v>
      </c>
    </row>
    <row r="2" spans="1:5" ht="27.75" customHeight="1" x14ac:dyDescent="0.25">
      <c r="C2" s="97" t="s">
        <v>831</v>
      </c>
    </row>
    <row r="3" spans="1:5" ht="30" customHeight="1" x14ac:dyDescent="0.25">
      <c r="C3" s="324" t="s">
        <v>832</v>
      </c>
      <c r="D3" s="324"/>
      <c r="E3" s="324"/>
    </row>
    <row r="5" spans="1:5" ht="17.25" x14ac:dyDescent="0.3">
      <c r="B5" s="19" t="s">
        <v>833</v>
      </c>
    </row>
    <row r="6" spans="1:5" ht="30" customHeight="1" x14ac:dyDescent="0.25">
      <c r="C6" s="324" t="s">
        <v>834</v>
      </c>
      <c r="D6" s="324"/>
      <c r="E6" s="324"/>
    </row>
    <row r="7" spans="1:5" ht="15" customHeight="1" x14ac:dyDescent="0.25">
      <c r="C7" s="324" t="s">
        <v>835</v>
      </c>
      <c r="D7" s="324"/>
      <c r="E7" s="324"/>
    </row>
    <row r="8" spans="1:5" ht="30" customHeight="1" x14ac:dyDescent="0.25">
      <c r="C8" s="324" t="s">
        <v>836</v>
      </c>
      <c r="D8" s="324"/>
      <c r="E8" s="324"/>
    </row>
    <row r="9" spans="1:5" x14ac:dyDescent="0.25">
      <c r="C9" s="11"/>
    </row>
    <row r="10" spans="1:5" ht="17.25" x14ac:dyDescent="0.3">
      <c r="B10" s="19" t="s">
        <v>837</v>
      </c>
    </row>
    <row r="11" spans="1:5" ht="30" customHeight="1" x14ac:dyDescent="0.25">
      <c r="C11" s="324" t="s">
        <v>838</v>
      </c>
      <c r="D11" s="324"/>
      <c r="E11" s="324"/>
    </row>
    <row r="13" spans="1:5" ht="17.25" x14ac:dyDescent="0.3">
      <c r="B13" s="19" t="s">
        <v>839</v>
      </c>
    </row>
    <row r="14" spans="1:5" ht="50.25" customHeight="1" x14ac:dyDescent="0.25">
      <c r="C14" s="324" t="s">
        <v>840</v>
      </c>
      <c r="D14" s="324"/>
      <c r="E14" s="324"/>
    </row>
    <row r="15" spans="1:5" ht="21.75" customHeight="1" x14ac:dyDescent="0.25">
      <c r="C15" s="324" t="s">
        <v>841</v>
      </c>
      <c r="D15" s="324"/>
      <c r="E15" s="324"/>
    </row>
    <row r="16" spans="1:5" x14ac:dyDescent="0.25">
      <c r="C16" s="324" t="s">
        <v>842</v>
      </c>
      <c r="D16" s="324"/>
      <c r="E16" s="324"/>
    </row>
    <row r="17" spans="3:4" ht="16.5" thickBot="1" x14ac:dyDescent="0.3"/>
    <row r="18" spans="3:4" ht="16.5" thickBot="1" x14ac:dyDescent="0.3">
      <c r="C18" s="99" t="s">
        <v>843</v>
      </c>
      <c r="D18" s="14"/>
    </row>
  </sheetData>
  <mergeCells count="8">
    <mergeCell ref="C16:E16"/>
    <mergeCell ref="C15:E15"/>
    <mergeCell ref="C3:E3"/>
    <mergeCell ref="C6:E6"/>
    <mergeCell ref="C7:E7"/>
    <mergeCell ref="C8:E8"/>
    <mergeCell ref="C11:E11"/>
    <mergeCell ref="C14:E1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7BA2-0DB9-4C9F-9831-12E2A0F717A1}">
  <sheetPr codeName="Sheet9">
    <tabColor theme="9" tint="-0.249977111117893"/>
  </sheetPr>
  <dimension ref="A1:L126"/>
  <sheetViews>
    <sheetView showGridLines="0" workbookViewId="0"/>
  </sheetViews>
  <sheetFormatPr defaultColWidth="8.875" defaultRowHeight="15.75" x14ac:dyDescent="0.25"/>
  <cols>
    <col min="1" max="1" width="3.625" customWidth="1"/>
    <col min="2" max="2" width="23" customWidth="1"/>
    <col min="3" max="3" width="16.875" customWidth="1"/>
    <col min="4" max="4" width="14.375" customWidth="1"/>
    <col min="5" max="5" width="19.375" customWidth="1"/>
    <col min="6" max="6" width="15.875" customWidth="1"/>
    <col min="7" max="7" width="13.125" customWidth="1"/>
    <col min="8" max="8" width="20.5" bestFit="1" customWidth="1"/>
    <col min="9" max="9" width="14.125" customWidth="1"/>
    <col min="16" max="19" width="9.875" customWidth="1"/>
  </cols>
  <sheetData>
    <row r="1" spans="1:12" ht="31.5" x14ac:dyDescent="0.5">
      <c r="A1" s="2" t="s">
        <v>844</v>
      </c>
    </row>
    <row r="2" spans="1:12" ht="72" customHeight="1" x14ac:dyDescent="0.25">
      <c r="B2" s="372" t="s">
        <v>845</v>
      </c>
      <c r="C2" s="372"/>
      <c r="D2" s="372"/>
      <c r="E2" s="372"/>
      <c r="F2" s="372"/>
      <c r="G2" s="372"/>
      <c r="H2" s="372"/>
    </row>
    <row r="3" spans="1:12" ht="20.25" thickBot="1" x14ac:dyDescent="0.35">
      <c r="A3" s="4" t="s">
        <v>846</v>
      </c>
      <c r="B3" s="4"/>
      <c r="C3" s="4"/>
      <c r="D3" s="4"/>
      <c r="E3" s="4"/>
      <c r="F3" s="4"/>
      <c r="G3" s="4"/>
    </row>
    <row r="4" spans="1:12" ht="22.5" customHeight="1" thickTop="1" thickBot="1" x14ac:dyDescent="0.3">
      <c r="B4" s="372" t="s">
        <v>847</v>
      </c>
      <c r="C4" s="372"/>
      <c r="D4" s="372"/>
      <c r="E4" s="372"/>
      <c r="F4" s="372"/>
      <c r="G4" s="372"/>
      <c r="H4" s="372"/>
    </row>
    <row r="5" spans="1:12" ht="16.5" thickBot="1" x14ac:dyDescent="0.3">
      <c r="A5" s="7"/>
      <c r="B5" s="26" t="s">
        <v>846</v>
      </c>
      <c r="C5" s="400" t="s">
        <v>848</v>
      </c>
      <c r="D5" s="400"/>
      <c r="E5" s="7"/>
      <c r="F5" s="7"/>
      <c r="G5" s="7"/>
      <c r="H5" s="7"/>
      <c r="I5" s="7"/>
      <c r="J5" s="7"/>
      <c r="K5" s="7"/>
      <c r="L5" s="5"/>
    </row>
    <row r="6" spans="1:12" x14ac:dyDescent="0.25">
      <c r="A6" s="7"/>
      <c r="B6" s="17" t="s">
        <v>849</v>
      </c>
      <c r="C6" s="209">
        <f>C33</f>
        <v>0.94074000000000002</v>
      </c>
      <c r="D6" s="7"/>
      <c r="E6" s="7"/>
      <c r="F6" s="7"/>
      <c r="G6" s="7"/>
      <c r="H6" s="7"/>
      <c r="I6" s="7"/>
      <c r="J6" s="7"/>
      <c r="K6" s="7"/>
      <c r="L6" s="5"/>
    </row>
    <row r="8" spans="1:12" ht="17.25" x14ac:dyDescent="0.3">
      <c r="A8" s="19" t="s">
        <v>850</v>
      </c>
    </row>
    <row r="9" spans="1:12" ht="32.25" thickBot="1" x14ac:dyDescent="0.3">
      <c r="C9" s="13" t="s">
        <v>28</v>
      </c>
      <c r="D9" s="13" t="s">
        <v>851</v>
      </c>
      <c r="E9" s="13" t="s">
        <v>852</v>
      </c>
    </row>
    <row r="10" spans="1:12" ht="16.5" thickBot="1" x14ac:dyDescent="0.3">
      <c r="B10" s="17" t="s">
        <v>853</v>
      </c>
      <c r="C10" s="43">
        <v>100</v>
      </c>
      <c r="D10" s="21">
        <f>C10*0.2</f>
        <v>20</v>
      </c>
      <c r="E10" s="21">
        <f>C10+5*D10</f>
        <v>200</v>
      </c>
    </row>
    <row r="11" spans="1:12" ht="16.5" thickBot="1" x14ac:dyDescent="0.3">
      <c r="B11" s="17" t="s">
        <v>854</v>
      </c>
      <c r="C11" s="21">
        <f>C10*0.5</f>
        <v>50</v>
      </c>
      <c r="D11" s="21">
        <f>C10*0.75</f>
        <v>75</v>
      </c>
      <c r="E11" s="21">
        <f>C11+5*D11</f>
        <v>425</v>
      </c>
    </row>
    <row r="12" spans="1:12" ht="16.5" thickTop="1" x14ac:dyDescent="0.25">
      <c r="B12" s="20" t="s">
        <v>855</v>
      </c>
      <c r="E12" s="20">
        <f>E11-E10</f>
        <v>225</v>
      </c>
    </row>
    <row r="14" spans="1:12" ht="17.25" x14ac:dyDescent="0.3">
      <c r="A14" s="19" t="str">
        <f>"Selected Currency ("&amp;C5&amp;")"</f>
        <v>Selected Currency (Euro (€))</v>
      </c>
    </row>
    <row r="15" spans="1:12" ht="31.5" x14ac:dyDescent="0.25">
      <c r="C15" s="13" t="s">
        <v>28</v>
      </c>
      <c r="D15" s="13" t="s">
        <v>851</v>
      </c>
      <c r="E15" s="13" t="s">
        <v>852</v>
      </c>
    </row>
    <row r="16" spans="1:12" x14ac:dyDescent="0.25">
      <c r="B16" s="17" t="s">
        <v>853</v>
      </c>
      <c r="C16" s="44">
        <f t="shared" ref="C16:E17" si="0">C10*ExchangeRate</f>
        <v>94.073999999999998</v>
      </c>
      <c r="D16" s="44">
        <f t="shared" si="0"/>
        <v>18.814800000000002</v>
      </c>
      <c r="E16" s="44">
        <f t="shared" si="0"/>
        <v>188.148</v>
      </c>
    </row>
    <row r="17" spans="1:9" ht="16.5" thickBot="1" x14ac:dyDescent="0.3">
      <c r="B17" s="17" t="s">
        <v>854</v>
      </c>
      <c r="C17" s="44">
        <f t="shared" si="0"/>
        <v>47.036999999999999</v>
      </c>
      <c r="D17" s="44">
        <f t="shared" si="0"/>
        <v>70.555499999999995</v>
      </c>
      <c r="E17" s="44">
        <f t="shared" si="0"/>
        <v>399.81450000000001</v>
      </c>
    </row>
    <row r="18" spans="1:9" ht="16.5" thickTop="1" x14ac:dyDescent="0.25">
      <c r="B18" s="20" t="s">
        <v>855</v>
      </c>
      <c r="C18" s="22"/>
      <c r="D18" s="22"/>
      <c r="E18" s="45">
        <f>E12*ExchangeRate</f>
        <v>211.66650000000001</v>
      </c>
    </row>
    <row r="20" spans="1:9" ht="17.25" x14ac:dyDescent="0.3">
      <c r="A20" s="19" t="str">
        <f>"Selected Currency with Currency Format"</f>
        <v>Selected Currency with Currency Format</v>
      </c>
    </row>
    <row r="21" spans="1:9" ht="31.5" x14ac:dyDescent="0.25">
      <c r="C21" s="13" t="s">
        <v>28</v>
      </c>
      <c r="D21" s="13" t="s">
        <v>851</v>
      </c>
      <c r="E21" s="13" t="s">
        <v>852</v>
      </c>
    </row>
    <row r="22" spans="1:9" x14ac:dyDescent="0.25">
      <c r="B22" s="17" t="s">
        <v>853</v>
      </c>
      <c r="C22" s="23" t="str">
        <f t="shared" ref="C22:E23" si="1">TEXT(C10*ExchangeRate,TextFormatCurr)</f>
        <v>94.07 €</v>
      </c>
      <c r="D22" s="23" t="str">
        <f t="shared" si="1"/>
        <v>18.81 €</v>
      </c>
      <c r="E22" s="23" t="str">
        <f t="shared" si="1"/>
        <v>188.15 €</v>
      </c>
    </row>
    <row r="23" spans="1:9" ht="16.5" thickBot="1" x14ac:dyDescent="0.3">
      <c r="B23" s="17" t="s">
        <v>854</v>
      </c>
      <c r="C23" s="23" t="str">
        <f t="shared" si="1"/>
        <v>47.04 €</v>
      </c>
      <c r="D23" s="23" t="str">
        <f t="shared" si="1"/>
        <v>70.56 €</v>
      </c>
      <c r="E23" s="23" t="str">
        <f t="shared" si="1"/>
        <v>399.81 €</v>
      </c>
      <c r="G23" t="s">
        <v>856</v>
      </c>
      <c r="I23" t="str">
        <f>C5</f>
        <v>Euro (€)</v>
      </c>
    </row>
    <row r="24" spans="1:9" ht="16.5" thickTop="1" x14ac:dyDescent="0.25">
      <c r="B24" s="20" t="s">
        <v>855</v>
      </c>
      <c r="C24" s="24"/>
      <c r="D24" s="24"/>
      <c r="E24" s="25" t="str">
        <f>TEXT(E12*ExchangeRate,TextFormatCurr)</f>
        <v>211.67 €</v>
      </c>
    </row>
    <row r="25" spans="1:9" x14ac:dyDescent="0.25">
      <c r="B25" s="37" t="s">
        <v>857</v>
      </c>
      <c r="E25" s="37" t="s">
        <v>858</v>
      </c>
    </row>
    <row r="27" spans="1:9" ht="20.25" thickBot="1" x14ac:dyDescent="0.35">
      <c r="A27" s="3" t="s">
        <v>859</v>
      </c>
      <c r="B27" s="6"/>
      <c r="C27" s="6"/>
      <c r="D27" s="6"/>
      <c r="E27" s="6"/>
      <c r="F27" s="6"/>
      <c r="G27" s="6"/>
    </row>
    <row r="28" spans="1:9" ht="16.5" thickTop="1" x14ac:dyDescent="0.25">
      <c r="A28" s="5"/>
      <c r="B28" s="5"/>
      <c r="C28" s="5"/>
      <c r="D28" s="5"/>
      <c r="E28" s="5"/>
      <c r="F28" s="5"/>
      <c r="G28" s="5"/>
    </row>
    <row r="30" spans="1:9" ht="17.25" x14ac:dyDescent="0.3">
      <c r="A30" s="205" t="s">
        <v>860</v>
      </c>
    </row>
    <row r="31" spans="1:9" x14ac:dyDescent="0.25">
      <c r="B31" s="202" t="s">
        <v>634</v>
      </c>
      <c r="C31" s="203">
        <f>MATCH(C5,CurrencyTable12[CurrencyName],0)</f>
        <v>7</v>
      </c>
    </row>
    <row r="32" spans="1:9" x14ac:dyDescent="0.25">
      <c r="B32" s="202" t="s">
        <v>861</v>
      </c>
      <c r="C32" s="203" t="str" cm="1">
        <f t="array" ref="C32">INDEX(CurrencyTable12[Symbol],$C$31)</f>
        <v>€</v>
      </c>
      <c r="D32" s="204" t="s">
        <v>861</v>
      </c>
    </row>
    <row r="33" spans="1:11" x14ac:dyDescent="0.25">
      <c r="B33" s="202" t="s">
        <v>862</v>
      </c>
      <c r="C33" s="208" cm="1">
        <f t="array" ref="C33">INDEX(CurrencyTable12[Exchange Rate],$C$31)</f>
        <v>0.94074000000000002</v>
      </c>
      <c r="D33" s="204" t="s">
        <v>862</v>
      </c>
    </row>
    <row r="34" spans="1:11" x14ac:dyDescent="0.25">
      <c r="B34" s="202" t="s">
        <v>863</v>
      </c>
      <c r="C34" s="208">
        <f>ExchangeRate</f>
        <v>0.94074000000000002</v>
      </c>
    </row>
    <row r="35" spans="1:11" ht="25.5" x14ac:dyDescent="0.25">
      <c r="B35" s="202" t="s">
        <v>864</v>
      </c>
      <c r="C35" s="203" t="str">
        <f>"Currencies (blue text) in: "&amp;$C$3</f>
        <v xml:space="preserve">Currencies (blue text) in: </v>
      </c>
      <c r="D35" t="s">
        <v>864</v>
      </c>
    </row>
    <row r="37" spans="1:11" ht="18" thickBot="1" x14ac:dyDescent="0.35">
      <c r="A37" s="205" t="s">
        <v>865</v>
      </c>
    </row>
    <row r="38" spans="1:11" ht="16.5" thickBot="1" x14ac:dyDescent="0.3">
      <c r="B38" s="202" t="s">
        <v>866</v>
      </c>
      <c r="C38" s="211" t="str">
        <f>MID(TEXT(1/2, "@"),2,1)</f>
        <v>.</v>
      </c>
      <c r="D38" t="s">
        <v>867</v>
      </c>
    </row>
    <row r="39" spans="1:11" ht="16.5" thickBot="1" x14ac:dyDescent="0.3">
      <c r="B39" s="202" t="s">
        <v>868</v>
      </c>
      <c r="C39" s="211" t="str">
        <f>IF(C38=".",","," ")</f>
        <v>,</v>
      </c>
      <c r="D39" t="s">
        <v>869</v>
      </c>
    </row>
    <row r="40" spans="1:11" x14ac:dyDescent="0.25">
      <c r="B40" s="202" t="s">
        <v>870</v>
      </c>
      <c r="C40" s="203" t="str">
        <f>"#"&amp;SeparatorThou&amp;"##0"</f>
        <v>#,##0</v>
      </c>
      <c r="D40" t="s">
        <v>871</v>
      </c>
    </row>
    <row r="41" spans="1:11" x14ac:dyDescent="0.25">
      <c r="B41" s="202" t="s">
        <v>872</v>
      </c>
      <c r="C41" s="203" t="str">
        <f>CurrencyTable12[[#Totals],[TEXT format]]</f>
        <v>#,##0.00 [$€-x-euro1]</v>
      </c>
      <c r="D41" t="s">
        <v>871</v>
      </c>
    </row>
    <row r="44" spans="1:11" x14ac:dyDescent="0.25">
      <c r="B44" t="s">
        <v>128</v>
      </c>
      <c r="C44" t="s">
        <v>873</v>
      </c>
      <c r="D44" t="s">
        <v>874</v>
      </c>
      <c r="E44" t="s">
        <v>875</v>
      </c>
      <c r="F44" t="s">
        <v>876</v>
      </c>
      <c r="G44" t="s">
        <v>877</v>
      </c>
      <c r="H44" t="s">
        <v>878</v>
      </c>
      <c r="I44" t="s">
        <v>192</v>
      </c>
    </row>
    <row r="45" spans="1:11" x14ac:dyDescent="0.25">
      <c r="B45" t="s">
        <v>879</v>
      </c>
      <c r="C45" t="str">
        <f t="shared" ref="C45:C68" si="2">B45&amp;" ("&amp;D45&amp;")"</f>
        <v>Argentine Peso ($)</v>
      </c>
      <c r="D45" t="s">
        <v>880</v>
      </c>
      <c r="E45" t="s">
        <v>881</v>
      </c>
      <c r="F45" s="199" t="s">
        <v>882</v>
      </c>
      <c r="G45" s="206">
        <f>INDEX(ExchRateLookups[per US Dollar],MATCH(B45,ExchRateLookups[Currency],0))</f>
        <v>174.54341199999999</v>
      </c>
      <c r="H45" t="str">
        <f>CurrencyTable12[[#This Row],[Code]]&amp;"#"&amp;SeparatorThou&amp;"##0"&amp;SeparatorDec&amp;"00"</f>
        <v>[$$-es-AR] #,##0.00</v>
      </c>
      <c r="I45" t="str">
        <f>TEXT(K45,CurrencyTable12[[#This Row],[TEXT format]])</f>
        <v>$ 123,456.79</v>
      </c>
      <c r="K45" s="210">
        <v>123456.789</v>
      </c>
    </row>
    <row r="46" spans="1:11" x14ac:dyDescent="0.25">
      <c r="B46" t="s">
        <v>883</v>
      </c>
      <c r="C46" t="str">
        <f t="shared" si="2"/>
        <v>Australian Dollar ($)</v>
      </c>
      <c r="D46" t="s">
        <v>880</v>
      </c>
      <c r="E46" t="s">
        <v>884</v>
      </c>
      <c r="F46" t="s">
        <v>885</v>
      </c>
      <c r="G46" s="206">
        <f>INDEX(ExchRateLookups[per US Dollar],MATCH(B46,ExchRateLookups[Currency],0))</f>
        <v>1.487962</v>
      </c>
      <c r="H46" t="str">
        <f>CurrencyTable12[[#This Row],[Code]]&amp;"#"&amp;SeparatorThou&amp;"##0"&amp;SeparatorDec&amp;"00"</f>
        <v>[$$-en-AU]#,##0.00</v>
      </c>
      <c r="I46" t="str">
        <f>TEXT(K46,CurrencyTable12[[#This Row],[TEXT format]])</f>
        <v>$123,456.79</v>
      </c>
      <c r="K46" s="210">
        <v>123456.789</v>
      </c>
    </row>
    <row r="47" spans="1:11" x14ac:dyDescent="0.25">
      <c r="B47" t="s">
        <v>886</v>
      </c>
      <c r="C47" t="str">
        <f t="shared" si="2"/>
        <v>Brazilian Real (R$)</v>
      </c>
      <c r="D47" t="s">
        <v>887</v>
      </c>
      <c r="E47" t="s">
        <v>888</v>
      </c>
      <c r="F47" t="s">
        <v>889</v>
      </c>
      <c r="G47" s="206">
        <f>INDEX(ExchRateLookups[per US Dollar],MATCH(B47,ExchRateLookups[Currency],0))</f>
        <v>5.2057869999999999</v>
      </c>
      <c r="H47" t="str">
        <f>CurrencyTable12[[#This Row],[Code]]&amp;"#"&amp;SeparatorThou&amp;"##0"&amp;SeparatorDec&amp;"00"</f>
        <v>[$R$-pt-BR] #,##0.00</v>
      </c>
      <c r="I47" t="str">
        <f>TEXT(K47,CurrencyTable12[[#This Row],[TEXT format]])</f>
        <v>R$ 123,456.79</v>
      </c>
      <c r="K47" s="210">
        <v>123456.789</v>
      </c>
    </row>
    <row r="48" spans="1:11" x14ac:dyDescent="0.25">
      <c r="B48" t="s">
        <v>890</v>
      </c>
      <c r="C48" t="str">
        <f t="shared" si="2"/>
        <v>British Pound (£)</v>
      </c>
      <c r="D48" s="207" t="s">
        <v>891</v>
      </c>
      <c r="E48" t="s">
        <v>892</v>
      </c>
      <c r="F48" s="207" t="s">
        <v>893</v>
      </c>
      <c r="G48" s="206">
        <f>INDEX(ExchRateLookups[per US Dollar],MATCH(B48,ExchRateLookups[Currency],0))</f>
        <v>0.82893499999999998</v>
      </c>
      <c r="H48" t="str">
        <f>CurrencyTable12[[#This Row],[Code]]&amp;"#"&amp;SeparatorThou&amp;"##0"&amp;SeparatorDec&amp;"00"</f>
        <v>[$£-en-GB]#,##0.00</v>
      </c>
      <c r="I48" t="str">
        <f>TEXT(K48,CurrencyTable12[[#This Row],[TEXT format]])</f>
        <v>£123,456.79</v>
      </c>
      <c r="K48" s="210">
        <v>123456.789</v>
      </c>
    </row>
    <row r="49" spans="2:11" x14ac:dyDescent="0.25">
      <c r="B49" t="s">
        <v>894</v>
      </c>
      <c r="C49" t="str">
        <f t="shared" si="2"/>
        <v>Canadian Dollar ($)</v>
      </c>
      <c r="D49" t="s">
        <v>880</v>
      </c>
      <c r="E49" t="s">
        <v>895</v>
      </c>
      <c r="F49" t="s">
        <v>896</v>
      </c>
      <c r="G49" s="206">
        <f>INDEX(ExchRateLookups[per US Dollar],MATCH(B49,ExchRateLookups[Currency],0))</f>
        <v>1.358563</v>
      </c>
      <c r="H49" t="str">
        <f>CurrencyTable12[[#This Row],[Code]]&amp;"#"&amp;SeparatorThou&amp;"##0"&amp;SeparatorDec&amp;"00"</f>
        <v>[$$-en-CA]#,##0.00</v>
      </c>
      <c r="I49" t="str">
        <f>TEXT(K49,CurrencyTable12[[#This Row],[TEXT format]])</f>
        <v>$123,456.79</v>
      </c>
      <c r="K49" s="210">
        <v>123456.789</v>
      </c>
    </row>
    <row r="50" spans="2:11" x14ac:dyDescent="0.25">
      <c r="B50" t="s">
        <v>897</v>
      </c>
      <c r="C50" t="str">
        <f t="shared" si="2"/>
        <v>Danish Krone (kr)</v>
      </c>
      <c r="D50" t="s">
        <v>898</v>
      </c>
      <c r="E50" t="s">
        <v>899</v>
      </c>
      <c r="F50" t="s">
        <v>900</v>
      </c>
      <c r="G50" s="206">
        <f>INDEX(ExchRateLookups[per US Dollar],MATCH(B50,ExchRateLookups[Currency],0))</f>
        <v>6.9953219999999998</v>
      </c>
      <c r="H50" t="str">
        <f>"#"&amp;SeparatorThou&amp;"##0"&amp;SeparatorDec&amp;"00"&amp;CurrencyTable12[[#This Row],[Code]]</f>
        <v>#,##0.00 [$kr.-da-DK]</v>
      </c>
      <c r="I50" t="str">
        <f>TEXT(K50,CurrencyTable12[[#This Row],[TEXT format]])</f>
        <v>123,456.79 kr.</v>
      </c>
      <c r="K50" s="210">
        <v>123456.789</v>
      </c>
    </row>
    <row r="51" spans="2:11" x14ac:dyDescent="0.25">
      <c r="B51" t="s">
        <v>901</v>
      </c>
      <c r="C51" t="str">
        <f t="shared" si="2"/>
        <v>Euro (€)</v>
      </c>
      <c r="D51" s="207" t="s">
        <v>902</v>
      </c>
      <c r="E51" t="s">
        <v>903</v>
      </c>
      <c r="F51" s="207" t="s">
        <v>904</v>
      </c>
      <c r="G51" s="206">
        <f>INDEX(ExchRateLookups[per US Dollar],MATCH(B51,ExchRateLookups[Currency],0))</f>
        <v>0.94074000000000002</v>
      </c>
      <c r="H51" t="str">
        <f>"#"&amp;SeparatorThou&amp;"##0"&amp;SeparatorDec&amp;"00"&amp;CurrencyTable12[[#This Row],[Code]]</f>
        <v>#,##0.00 [$€-x-euro1]</v>
      </c>
      <c r="I51" t="str">
        <f>TEXT(K51,CurrencyTable12[[#This Row],[TEXT format]])</f>
        <v>123,456.79 €</v>
      </c>
      <c r="K51" s="210">
        <v>123456.789</v>
      </c>
    </row>
    <row r="52" spans="2:11" x14ac:dyDescent="0.25">
      <c r="B52" t="s">
        <v>905</v>
      </c>
      <c r="C52" t="str">
        <f t="shared" si="2"/>
        <v>Hong Kong Dollar ($)</v>
      </c>
      <c r="D52" t="s">
        <v>880</v>
      </c>
      <c r="E52" t="s">
        <v>906</v>
      </c>
      <c r="F52" t="s">
        <v>907</v>
      </c>
      <c r="G52" s="206">
        <f>INDEX(ExchRateLookups[per US Dollar],MATCH(B52,ExchRateLookups[Currency],0))</f>
        <v>7.8067000000000002</v>
      </c>
      <c r="H52" t="str">
        <f>CurrencyTable12[[#This Row],[Code]]&amp;"#"&amp;SeparatorThou&amp;"##0"&amp;SeparatorDec&amp;"00"</f>
        <v>[$$-en-HK]#,##0.00</v>
      </c>
      <c r="I52" t="str">
        <f>TEXT(K52,CurrencyTable12[[#This Row],[TEXT format]])</f>
        <v>$123,456.79</v>
      </c>
      <c r="K52" s="210">
        <v>123456.789</v>
      </c>
    </row>
    <row r="53" spans="2:11" x14ac:dyDescent="0.25">
      <c r="B53" t="s">
        <v>908</v>
      </c>
      <c r="C53" t="str">
        <f t="shared" si="2"/>
        <v>Indian Rupee (₹)</v>
      </c>
      <c r="D53" t="s">
        <v>909</v>
      </c>
      <c r="E53" t="s">
        <v>910</v>
      </c>
      <c r="F53" t="s">
        <v>911</v>
      </c>
      <c r="G53" s="206">
        <f>INDEX(ExchRateLookups[per US Dollar],MATCH(B53,ExchRateLookups[Currency],0))</f>
        <v>82.715042999999994</v>
      </c>
      <c r="H53" t="str">
        <f>CurrencyTable12[[#This Row],[Code]]&amp;"#"&amp;SeparatorThou&amp;"##0"&amp;SeparatorDec&amp;"00"</f>
        <v>[$₹-en-IN] #,##0.00</v>
      </c>
      <c r="I53" t="str">
        <f>TEXT(K53,CurrencyTable12[[#This Row],[TEXT format]])</f>
        <v>₹ 123,456.79</v>
      </c>
      <c r="K53" s="210">
        <v>123456.789</v>
      </c>
    </row>
    <row r="54" spans="2:11" x14ac:dyDescent="0.25">
      <c r="B54" t="s">
        <v>912</v>
      </c>
      <c r="C54" t="str">
        <f t="shared" si="2"/>
        <v>Indonesian Rupiah (Rp)</v>
      </c>
      <c r="D54" t="s">
        <v>913</v>
      </c>
      <c r="E54" t="s">
        <v>914</v>
      </c>
      <c r="F54" t="s">
        <v>915</v>
      </c>
      <c r="G54" s="206">
        <f>INDEX(ExchRateLookups[per US Dollar],MATCH(B54,ExchRateLookups[Currency],0))</f>
        <v>15621.971503000001</v>
      </c>
      <c r="H54" t="str">
        <f>CurrencyTable12[[#This Row],[Code]]&amp;"#"&amp;SeparatorThou&amp;"##0"&amp;SeparatorDec&amp;"00"</f>
        <v>[$Rp-en-ID]#,##0.00</v>
      </c>
      <c r="I54" t="str">
        <f>TEXT(K54,CurrencyTable12[[#This Row],[TEXT format]])</f>
        <v>Rp123,456.79</v>
      </c>
      <c r="K54" s="210">
        <v>123456.789</v>
      </c>
    </row>
    <row r="55" spans="2:11" x14ac:dyDescent="0.25">
      <c r="B55" t="s">
        <v>916</v>
      </c>
      <c r="C55" t="str">
        <f t="shared" si="2"/>
        <v>Japanese Yen (¥)</v>
      </c>
      <c r="D55" s="207" t="s">
        <v>917</v>
      </c>
      <c r="E55" t="s">
        <v>918</v>
      </c>
      <c r="F55" s="207" t="s">
        <v>919</v>
      </c>
      <c r="G55" s="206">
        <f>INDEX(ExchRateLookups[per US Dollar],MATCH(B55,ExchRateLookups[Currency],0))</f>
        <v>132.93039300000001</v>
      </c>
      <c r="H55" t="str">
        <f>CurrencyTable12[[#This Row],[Code]]&amp;"#"&amp;SeparatorThou&amp;"##0"&amp;SeparatorDec&amp;"00"</f>
        <v>[$¥-ja-JP]#,##0.00</v>
      </c>
      <c r="I55" t="str">
        <f>TEXT(K55,CurrencyTable12[[#This Row],[TEXT format]])</f>
        <v>¥123,456.79</v>
      </c>
      <c r="K55" s="210">
        <v>123456.789</v>
      </c>
    </row>
    <row r="56" spans="2:11" x14ac:dyDescent="0.25">
      <c r="B56" t="s">
        <v>920</v>
      </c>
      <c r="C56" t="str">
        <f t="shared" si="2"/>
        <v>South Korean Won (₩)</v>
      </c>
      <c r="D56" s="207" t="s">
        <v>921</v>
      </c>
      <c r="E56" t="s">
        <v>922</v>
      </c>
      <c r="F56" s="207" t="s">
        <v>923</v>
      </c>
      <c r="G56" s="206">
        <f>INDEX(ExchRateLookups[per US Dollar],MATCH(B56,ExchRateLookups[Currency],0))</f>
        <v>1275.381492</v>
      </c>
      <c r="H56" t="str">
        <f>CurrencyTable12[[#This Row],[Code]]&amp;"#"&amp;SeparatorThou&amp;"##0"&amp;SeparatorDec&amp;"00"</f>
        <v>[$₩-ko-KR]#,##0.00</v>
      </c>
      <c r="I56" t="str">
        <f>TEXT(K56,CurrencyTable12[[#This Row],[TEXT format]])</f>
        <v>₩123,456.79</v>
      </c>
      <c r="K56" s="210">
        <v>123456.789</v>
      </c>
    </row>
    <row r="57" spans="2:11" x14ac:dyDescent="0.25">
      <c r="B57" t="s">
        <v>924</v>
      </c>
      <c r="C57" t="str">
        <f t="shared" si="2"/>
        <v>Malaysian Ringgit (RM$)</v>
      </c>
      <c r="D57" t="s">
        <v>925</v>
      </c>
      <c r="E57" t="s">
        <v>926</v>
      </c>
      <c r="F57" t="s">
        <v>927</v>
      </c>
      <c r="G57" s="206">
        <f>INDEX(ExchRateLookups[per US Dollar],MATCH(B57,ExchRateLookups[Currency],0))</f>
        <v>4.4249099999999997</v>
      </c>
      <c r="H57" t="str">
        <f>CurrencyTable12[[#This Row],[Code]]&amp;"#"&amp;SeparatorThou&amp;"##0"&amp;SeparatorDec&amp;"00"</f>
        <v>[$RM-en-MY]#,##0.00</v>
      </c>
      <c r="I57" t="str">
        <f>TEXT(K57,CurrencyTable12[[#This Row],[TEXT format]])</f>
        <v>RM123,456.79</v>
      </c>
      <c r="K57" s="210">
        <v>123456.789</v>
      </c>
    </row>
    <row r="58" spans="2:11" x14ac:dyDescent="0.25">
      <c r="B58" t="s">
        <v>928</v>
      </c>
      <c r="C58" t="str">
        <f t="shared" si="2"/>
        <v>Mexican Peso ($)</v>
      </c>
      <c r="D58" t="s">
        <v>880</v>
      </c>
      <c r="E58" t="s">
        <v>929</v>
      </c>
      <c r="F58" t="s">
        <v>930</v>
      </c>
      <c r="G58" s="206">
        <f>INDEX(ExchRateLookups[per US Dollar],MATCH(B58,ExchRateLookups[Currency],0))</f>
        <v>19.404237999999999</v>
      </c>
      <c r="H58" t="str">
        <f>CurrencyTable12[[#This Row],[Code]]&amp;"#"&amp;SeparatorThou&amp;"##0"&amp;SeparatorDec&amp;"00"</f>
        <v>[$$-es-MX]#,##0.00</v>
      </c>
      <c r="I58" t="str">
        <f>TEXT(K58,CurrencyTable12[[#This Row],[TEXT format]])</f>
        <v>$123,456.79</v>
      </c>
      <c r="K58" s="210">
        <v>123456.789</v>
      </c>
    </row>
    <row r="59" spans="2:11" x14ac:dyDescent="0.25">
      <c r="B59" t="s">
        <v>931</v>
      </c>
      <c r="C59" t="str">
        <f t="shared" si="2"/>
        <v>New Zealand Dollar ($)</v>
      </c>
      <c r="D59" t="s">
        <v>880</v>
      </c>
      <c r="E59" t="s">
        <v>932</v>
      </c>
      <c r="F59" t="s">
        <v>933</v>
      </c>
      <c r="G59" s="206">
        <f>INDEX(ExchRateLookups[per US Dollar],MATCH(B59,ExchRateLookups[Currency],0))</f>
        <v>1.5876699999999999</v>
      </c>
      <c r="H59" t="str">
        <f>CurrencyTable12[[#This Row],[Code]]&amp;"#"&amp;SeparatorThou&amp;"##0"&amp;SeparatorDec&amp;"00"</f>
        <v>[$$-en-NZ]#,##0.00</v>
      </c>
      <c r="I59" t="str">
        <f>TEXT(K59,CurrencyTable12[[#This Row],[TEXT format]])</f>
        <v>$123,456.79</v>
      </c>
      <c r="K59" s="210">
        <v>123456.789</v>
      </c>
    </row>
    <row r="60" spans="2:11" x14ac:dyDescent="0.25">
      <c r="B60" t="s">
        <v>934</v>
      </c>
      <c r="C60" t="str">
        <f t="shared" si="2"/>
        <v>Norwegian Krone (kr)</v>
      </c>
      <c r="D60" t="s">
        <v>898</v>
      </c>
      <c r="E60" t="s">
        <v>935</v>
      </c>
      <c r="F60" t="s">
        <v>936</v>
      </c>
      <c r="G60" s="206">
        <f>INDEX(ExchRateLookups[per US Dollar],MATCH(B60,ExchRateLookups[Currency],0))</f>
        <v>9.8439789999999991</v>
      </c>
      <c r="H60" t="str">
        <f>CurrencyTable12[[#This Row],[Code]]&amp;"#"&amp;SeparatorThou&amp;"##0"&amp;SeparatorDec&amp;"00"</f>
        <v>[$kr-sma-NO] #,##0.00</v>
      </c>
      <c r="I60" t="str">
        <f>TEXT(K60,CurrencyTable12[[#This Row],[TEXT format]])</f>
        <v>kr 123,456.79</v>
      </c>
      <c r="K60" s="210">
        <v>123456.789</v>
      </c>
    </row>
    <row r="61" spans="2:11" x14ac:dyDescent="0.25">
      <c r="B61" t="s">
        <v>937</v>
      </c>
      <c r="C61" t="str">
        <f t="shared" si="2"/>
        <v>Russian Ruble (₽)</v>
      </c>
      <c r="D61" t="s">
        <v>938</v>
      </c>
      <c r="E61" t="s">
        <v>939</v>
      </c>
      <c r="F61" t="s">
        <v>940</v>
      </c>
      <c r="G61" s="206">
        <f>INDEX(ExchRateLookups[per US Dollar],MATCH(B61,ExchRateLookups[Currency],0))</f>
        <v>68.399856999999997</v>
      </c>
      <c r="H61" t="str">
        <f>CurrencyTable12[[#This Row],[Code]]&amp;"#"&amp;SeparatorThou&amp;"##0"&amp;SeparatorDec&amp;"00"</f>
        <v>[$₽-ru-RU] #,##0.00</v>
      </c>
      <c r="I61" t="str">
        <f>TEXT(K61,CurrencyTable12[[#This Row],[TEXT format]])</f>
        <v>₽ 123,456.79</v>
      </c>
      <c r="K61" s="210">
        <v>123456.789</v>
      </c>
    </row>
    <row r="62" spans="2:11" x14ac:dyDescent="0.25">
      <c r="B62" t="s">
        <v>941</v>
      </c>
      <c r="C62" t="str">
        <f t="shared" si="2"/>
        <v>Saudi Arabian Riyal (SR)</v>
      </c>
      <c r="D62" t="s">
        <v>942</v>
      </c>
      <c r="E62" t="s">
        <v>943</v>
      </c>
      <c r="F62" t="s">
        <v>943</v>
      </c>
      <c r="G62" s="206">
        <f>INDEX(ExchRateLookups[per US Dollar],MATCH(B62,ExchRateLookups[Currency],0))</f>
        <v>3.75</v>
      </c>
      <c r="H62" t="str">
        <f>CurrencyTable12[[#This Row],[Code]]&amp;"#"&amp;SeparatorThou&amp;"##0"&amp;SeparatorDec&amp;"00"</f>
        <v>[$ر.س.‏-ar-SA]#,##0.00</v>
      </c>
      <c r="I62" t="str">
        <f>TEXT(K62,CurrencyTable12[[#This Row],[TEXT format]])</f>
        <v>ر.س.‏123,456.79</v>
      </c>
      <c r="K62" s="210">
        <v>123456.789</v>
      </c>
    </row>
    <row r="63" spans="2:11" x14ac:dyDescent="0.25">
      <c r="B63" t="s">
        <v>944</v>
      </c>
      <c r="C63" t="str">
        <f t="shared" si="2"/>
        <v>South African Rand (R)</v>
      </c>
      <c r="D63" t="s">
        <v>945</v>
      </c>
      <c r="E63" t="s">
        <v>946</v>
      </c>
      <c r="F63" t="s">
        <v>947</v>
      </c>
      <c r="G63" s="206">
        <f>INDEX(ExchRateLookups[per US Dollar],MATCH(B63,ExchRateLookups[Currency],0))</f>
        <v>17.017123999999999</v>
      </c>
      <c r="H63" t="str">
        <f>CurrencyTable12[[#This Row],[Code]]&amp;"#"&amp;SeparatorThou&amp;"##0"&amp;SeparatorDec&amp;"00"</f>
        <v>[$R-en-ZA]#,##0.00</v>
      </c>
      <c r="I63" t="str">
        <f>TEXT(K63,CurrencyTable12[[#This Row],[TEXT format]])</f>
        <v>R123,456.79</v>
      </c>
      <c r="K63" s="210">
        <v>123456.789</v>
      </c>
    </row>
    <row r="64" spans="2:11" x14ac:dyDescent="0.25">
      <c r="B64" t="s">
        <v>948</v>
      </c>
      <c r="C64" t="str">
        <f t="shared" si="2"/>
        <v>Swedish Krona (kr)</v>
      </c>
      <c r="D64" t="s">
        <v>898</v>
      </c>
      <c r="E64" t="s">
        <v>949</v>
      </c>
      <c r="F64" t="s">
        <v>950</v>
      </c>
      <c r="G64" s="206">
        <f>INDEX(ExchRateLookups[per US Dollar],MATCH(B64,ExchRateLookups[Currency],0))</f>
        <v>10.502952000000001</v>
      </c>
      <c r="H64" t="str">
        <f>CurrencyTable12[[#This Row],[Code]]&amp;"#"&amp;SeparatorThou&amp;"##0"&amp;SeparatorDec&amp;"00"</f>
        <v>[$kr-sv-SE] #,##0.00</v>
      </c>
      <c r="I64" t="str">
        <f>TEXT(K64,CurrencyTable12[[#This Row],[TEXT format]])</f>
        <v>kr 123,456.79</v>
      </c>
      <c r="K64" s="210">
        <v>123456.789</v>
      </c>
    </row>
    <row r="65" spans="2:11" x14ac:dyDescent="0.25">
      <c r="B65" t="s">
        <v>951</v>
      </c>
      <c r="C65" t="str">
        <f t="shared" si="2"/>
        <v>Swiss Franc (chf)</v>
      </c>
      <c r="D65" t="s">
        <v>952</v>
      </c>
      <c r="E65" t="s">
        <v>953</v>
      </c>
      <c r="F65" t="s">
        <v>954</v>
      </c>
      <c r="G65" s="206">
        <f>INDEX(ExchRateLookups[per US Dollar],MATCH(B65,ExchRateLookups[Currency],0))</f>
        <v>0.93260600000000005</v>
      </c>
      <c r="H65" t="str">
        <f>CurrencyTable12[[#This Row],[Code]]&amp;"#"&amp;SeparatorThou&amp;"##0"&amp;SeparatorDec&amp;"00"</f>
        <v>[$CHF-fr-CH] #,##0.00</v>
      </c>
      <c r="I65" t="str">
        <f>TEXT(K65,CurrencyTable12[[#This Row],[TEXT format]])</f>
        <v>CHF 123,456.79</v>
      </c>
      <c r="K65" s="210">
        <v>123456.789</v>
      </c>
    </row>
    <row r="66" spans="2:11" x14ac:dyDescent="0.25">
      <c r="B66" t="s">
        <v>955</v>
      </c>
      <c r="C66" t="str">
        <f t="shared" si="2"/>
        <v>Taiwan New Dollar (NT$)</v>
      </c>
      <c r="D66" t="s">
        <v>956</v>
      </c>
      <c r="E66" t="s">
        <v>957</v>
      </c>
      <c r="F66" t="s">
        <v>958</v>
      </c>
      <c r="G66" s="206">
        <f>INDEX(ExchRateLookups[per US Dollar],MATCH(B66,ExchRateLookups[Currency],0))</f>
        <v>30.709696999999998</v>
      </c>
      <c r="H66" t="str">
        <f>CurrencyTable12[[#This Row],[Code]]&amp;"#"&amp;SeparatorThou&amp;"##0"&amp;SeparatorDec&amp;"00"</f>
        <v>[$NT$-zh-TW]#,##0.00</v>
      </c>
      <c r="I66" t="str">
        <f>TEXT(K66,CurrencyTable12[[#This Row],[TEXT format]])</f>
        <v>NT$123,456.79</v>
      </c>
      <c r="K66" s="210">
        <v>123456.789</v>
      </c>
    </row>
    <row r="67" spans="2:11" x14ac:dyDescent="0.25">
      <c r="B67" t="s">
        <v>959</v>
      </c>
      <c r="C67" t="str">
        <f t="shared" si="2"/>
        <v>Turkish Lira (TL)</v>
      </c>
      <c r="D67" t="s">
        <v>960</v>
      </c>
      <c r="E67" t="s">
        <v>961</v>
      </c>
      <c r="F67" t="s">
        <v>961</v>
      </c>
      <c r="G67" s="206">
        <f>INDEX(ExchRateLookups[per US Dollar],MATCH(B67,ExchRateLookups[Currency],0))</f>
        <v>18.677775</v>
      </c>
      <c r="H67" t="str">
        <f>CurrencyTable12[[#This Row],[Code]]&amp;"#"&amp;SeparatorThou&amp;"##0"&amp;SeparatorDec&amp;"00"</f>
        <v>[$₺-tr-TR]#,##0.00</v>
      </c>
      <c r="I67" t="str">
        <f>TEXT(K67,CurrencyTable12[[#This Row],[TEXT format]])</f>
        <v>₺123,456.79</v>
      </c>
      <c r="K67" s="210">
        <v>123456.789</v>
      </c>
    </row>
    <row r="68" spans="2:11" x14ac:dyDescent="0.25">
      <c r="B68" t="s">
        <v>962</v>
      </c>
      <c r="C68" t="str">
        <f t="shared" si="2"/>
        <v>US Dollar ($)</v>
      </c>
      <c r="D68" t="s">
        <v>880</v>
      </c>
      <c r="E68" t="s">
        <v>963</v>
      </c>
      <c r="F68" t="s">
        <v>964</v>
      </c>
      <c r="G68" s="206">
        <v>1</v>
      </c>
      <c r="H68" t="str">
        <f>CurrencyTable12[[#This Row],[Code]]&amp;"#"&amp;SeparatorThou&amp;"##0"&amp;SeparatorDec&amp;"00"</f>
        <v>[$$-en-US]#,##0.00</v>
      </c>
      <c r="I68" t="str">
        <f>TEXT(K68,CurrencyTable12[[#This Row],[TEXT format]])</f>
        <v>$123,456.79</v>
      </c>
      <c r="K68" s="210">
        <v>123456.789</v>
      </c>
    </row>
    <row r="69" spans="2:11" x14ac:dyDescent="0.25">
      <c r="B69" t="s">
        <v>860</v>
      </c>
      <c r="C69" t="str" cm="1">
        <f t="array" ref="C69">INDEX(CurrencyTable12[CurrencyName],CurrencyIndex)</f>
        <v>Euro (€)</v>
      </c>
      <c r="D69" t="str" cm="1">
        <f t="array" ref="D69">INDEX(CurrencyTable12[Symbol],CurrencyIndex)</f>
        <v>€</v>
      </c>
      <c r="G69" cm="1">
        <f t="array" ref="G69">INDEX(CurrencyTable12[Exchange Rate],CurrencyIndex)</f>
        <v>0.94074000000000002</v>
      </c>
      <c r="H69" t="str" cm="1">
        <f t="array" ref="H69">INDEX(CurrencyTable12[TEXT format],CurrencyIndex)</f>
        <v>#,##0.00 [$€-x-euro1]</v>
      </c>
      <c r="I69" t="str" cm="1">
        <f t="array" ref="I69">INDEX(CurrencyTable12[Example],CurrencyIndex)</f>
        <v>123,456.79 €</v>
      </c>
    </row>
    <row r="70" spans="2:11" ht="25.5" customHeight="1" x14ac:dyDescent="0.25"/>
    <row r="72" spans="2:11" x14ac:dyDescent="0.25">
      <c r="B72" s="1" t="s">
        <v>965</v>
      </c>
      <c r="E72" s="47" t="s">
        <v>966</v>
      </c>
      <c r="F72" s="200">
        <v>44927</v>
      </c>
    </row>
    <row r="73" spans="2:11" x14ac:dyDescent="0.25">
      <c r="B73" t="s">
        <v>128</v>
      </c>
      <c r="C73" t="s">
        <v>967</v>
      </c>
      <c r="D73" t="s">
        <v>968</v>
      </c>
    </row>
    <row r="74" spans="2:11" x14ac:dyDescent="0.25">
      <c r="B74" t="s">
        <v>879</v>
      </c>
      <c r="C74" s="201">
        <v>174.54341199999999</v>
      </c>
      <c r="D74" s="201">
        <v>5.7289999999999997E-3</v>
      </c>
    </row>
    <row r="75" spans="2:11" x14ac:dyDescent="0.25">
      <c r="B75" t="s">
        <v>883</v>
      </c>
      <c r="C75" s="201">
        <v>1.487962</v>
      </c>
      <c r="D75" s="201">
        <v>0.67205999999999999</v>
      </c>
    </row>
    <row r="76" spans="2:11" x14ac:dyDescent="0.25">
      <c r="B76" t="s">
        <v>969</v>
      </c>
      <c r="C76" s="201">
        <v>0.376</v>
      </c>
      <c r="D76" s="201">
        <v>2.6595740000000001</v>
      </c>
    </row>
    <row r="77" spans="2:11" x14ac:dyDescent="0.25">
      <c r="B77" t="s">
        <v>970</v>
      </c>
      <c r="C77" s="201">
        <v>12.836748</v>
      </c>
      <c r="D77" s="201">
        <v>7.7900999999999998E-2</v>
      </c>
    </row>
    <row r="78" spans="2:11" x14ac:dyDescent="0.25">
      <c r="B78" t="s">
        <v>886</v>
      </c>
      <c r="C78" s="201">
        <v>5.2057869999999999</v>
      </c>
      <c r="D78" s="201">
        <v>0.19209399999999999</v>
      </c>
    </row>
    <row r="79" spans="2:11" x14ac:dyDescent="0.25">
      <c r="B79" t="s">
        <v>890</v>
      </c>
      <c r="C79" s="201">
        <v>0.82893499999999998</v>
      </c>
      <c r="D79" s="201">
        <v>1.206367</v>
      </c>
    </row>
    <row r="80" spans="2:11" x14ac:dyDescent="0.25">
      <c r="B80" t="s">
        <v>971</v>
      </c>
      <c r="C80" s="201">
        <v>1.347685</v>
      </c>
      <c r="D80" s="201">
        <v>0.74201300000000003</v>
      </c>
    </row>
    <row r="81" spans="2:4" x14ac:dyDescent="0.25">
      <c r="B81" t="s">
        <v>972</v>
      </c>
      <c r="C81" s="201">
        <v>1.839928</v>
      </c>
      <c r="D81" s="201">
        <v>0.54349999999999998</v>
      </c>
    </row>
    <row r="82" spans="2:4" x14ac:dyDescent="0.25">
      <c r="B82" t="s">
        <v>894</v>
      </c>
      <c r="C82" s="201">
        <v>1.358563</v>
      </c>
      <c r="D82" s="201">
        <v>0.73607199999999995</v>
      </c>
    </row>
    <row r="83" spans="2:4" x14ac:dyDescent="0.25">
      <c r="B83" t="s">
        <v>973</v>
      </c>
      <c r="C83" s="201">
        <v>882.15650100000005</v>
      </c>
      <c r="D83" s="201">
        <v>1.134E-3</v>
      </c>
    </row>
    <row r="84" spans="2:4" x14ac:dyDescent="0.25">
      <c r="B84" t="s">
        <v>974</v>
      </c>
      <c r="C84" s="201">
        <v>6.9638819999999999</v>
      </c>
      <c r="D84" s="201">
        <v>0.143598</v>
      </c>
    </row>
    <row r="85" spans="2:4" x14ac:dyDescent="0.25">
      <c r="B85" t="s">
        <v>975</v>
      </c>
      <c r="C85" s="201">
        <v>4732.15074</v>
      </c>
      <c r="D85" s="201">
        <v>2.1100000000000001E-4</v>
      </c>
    </row>
    <row r="86" spans="2:4" x14ac:dyDescent="0.25">
      <c r="B86" t="s">
        <v>976</v>
      </c>
      <c r="C86" s="201">
        <v>7.0996899999999998</v>
      </c>
      <c r="D86" s="201">
        <v>0.140851</v>
      </c>
    </row>
    <row r="87" spans="2:4" x14ac:dyDescent="0.25">
      <c r="B87" t="s">
        <v>977</v>
      </c>
      <c r="C87" s="201">
        <v>22.768913000000001</v>
      </c>
      <c r="D87" s="201">
        <v>4.3920000000000001E-2</v>
      </c>
    </row>
    <row r="88" spans="2:4" x14ac:dyDescent="0.25">
      <c r="B88" t="s">
        <v>897</v>
      </c>
      <c r="C88" s="201">
        <v>6.9953219999999998</v>
      </c>
      <c r="D88" s="201">
        <v>0.142953</v>
      </c>
    </row>
    <row r="89" spans="2:4" x14ac:dyDescent="0.25">
      <c r="B89" t="s">
        <v>978</v>
      </c>
      <c r="C89" s="201">
        <v>3.6724999999999999</v>
      </c>
      <c r="D89" s="201">
        <v>0.27229399999999998</v>
      </c>
    </row>
    <row r="90" spans="2:4" x14ac:dyDescent="0.25">
      <c r="B90" t="s">
        <v>901</v>
      </c>
      <c r="C90" s="201">
        <v>0.94074000000000002</v>
      </c>
      <c r="D90" s="201">
        <v>1.0629930000000001</v>
      </c>
    </row>
    <row r="91" spans="2:4" x14ac:dyDescent="0.25">
      <c r="B91" t="s">
        <v>905</v>
      </c>
      <c r="C91" s="201">
        <v>7.8067000000000002</v>
      </c>
      <c r="D91" s="201">
        <v>0.12809499999999999</v>
      </c>
    </row>
    <row r="92" spans="2:4" x14ac:dyDescent="0.25">
      <c r="B92" t="s">
        <v>979</v>
      </c>
      <c r="C92" s="201">
        <v>376.52467000000001</v>
      </c>
      <c r="D92" s="201">
        <v>2.6559999999999999E-3</v>
      </c>
    </row>
    <row r="93" spans="2:4" x14ac:dyDescent="0.25">
      <c r="B93" t="s">
        <v>980</v>
      </c>
      <c r="C93" s="201">
        <v>143.33342500000001</v>
      </c>
      <c r="D93" s="201">
        <v>6.9769999999999997E-3</v>
      </c>
    </row>
    <row r="94" spans="2:4" x14ac:dyDescent="0.25">
      <c r="B94" t="s">
        <v>908</v>
      </c>
      <c r="C94" s="201">
        <v>82.715042999999994</v>
      </c>
      <c r="D94" s="201">
        <v>1.209E-2</v>
      </c>
    </row>
    <row r="95" spans="2:4" x14ac:dyDescent="0.25">
      <c r="B95" t="s">
        <v>912</v>
      </c>
      <c r="C95" s="201">
        <v>15621.971503000001</v>
      </c>
      <c r="D95" s="201">
        <v>6.3999999999999997E-5</v>
      </c>
    </row>
    <row r="96" spans="2:4" x14ac:dyDescent="0.25">
      <c r="B96" t="s">
        <v>981</v>
      </c>
      <c r="C96" s="201">
        <v>41600.399490000003</v>
      </c>
      <c r="D96" s="201">
        <v>2.4000000000000001E-5</v>
      </c>
    </row>
    <row r="97" spans="2:4" x14ac:dyDescent="0.25">
      <c r="B97" t="s">
        <v>982</v>
      </c>
      <c r="C97" s="201">
        <v>3.4972240000000001</v>
      </c>
      <c r="D97" s="201">
        <v>0.285941</v>
      </c>
    </row>
    <row r="98" spans="2:4" x14ac:dyDescent="0.25">
      <c r="B98" t="s">
        <v>916</v>
      </c>
      <c r="C98" s="201">
        <v>132.93039300000001</v>
      </c>
      <c r="D98" s="201">
        <v>7.5230000000000002E-3</v>
      </c>
    </row>
    <row r="99" spans="2:4" x14ac:dyDescent="0.25">
      <c r="B99" t="s">
        <v>983</v>
      </c>
      <c r="C99" s="201">
        <v>462.14498600000002</v>
      </c>
      <c r="D99" s="201">
        <v>2.1640000000000001E-3</v>
      </c>
    </row>
    <row r="100" spans="2:4" x14ac:dyDescent="0.25">
      <c r="B100" t="s">
        <v>984</v>
      </c>
      <c r="C100" s="201">
        <v>0.30640000000000001</v>
      </c>
      <c r="D100" s="201">
        <v>3.2637100000000001</v>
      </c>
    </row>
    <row r="101" spans="2:4" x14ac:dyDescent="0.25">
      <c r="B101" t="s">
        <v>985</v>
      </c>
      <c r="C101" s="201">
        <v>4.8198090000000002</v>
      </c>
      <c r="D101" s="201">
        <v>0.20747699999999999</v>
      </c>
    </row>
    <row r="102" spans="2:4" x14ac:dyDescent="0.25">
      <c r="B102" t="s">
        <v>924</v>
      </c>
      <c r="C102" s="201">
        <v>4.4249099999999997</v>
      </c>
      <c r="D102" s="201">
        <v>0.225993</v>
      </c>
    </row>
    <row r="103" spans="2:4" x14ac:dyDescent="0.25">
      <c r="B103" t="s">
        <v>986</v>
      </c>
      <c r="C103" s="201">
        <v>43.982621000000002</v>
      </c>
      <c r="D103" s="201">
        <v>2.2735999999999999E-2</v>
      </c>
    </row>
    <row r="104" spans="2:4" x14ac:dyDescent="0.25">
      <c r="B104" t="s">
        <v>928</v>
      </c>
      <c r="C104" s="201">
        <v>19.404237999999999</v>
      </c>
      <c r="D104" s="201">
        <v>5.1534999999999997E-2</v>
      </c>
    </row>
    <row r="105" spans="2:4" x14ac:dyDescent="0.25">
      <c r="B105" t="s">
        <v>987</v>
      </c>
      <c r="C105" s="201">
        <v>132.406105</v>
      </c>
      <c r="D105" s="201">
        <v>7.5529999999999998E-3</v>
      </c>
    </row>
    <row r="106" spans="2:4" x14ac:dyDescent="0.25">
      <c r="B106" t="s">
        <v>931</v>
      </c>
      <c r="C106" s="201">
        <v>1.5876699999999999</v>
      </c>
      <c r="D106" s="201">
        <v>0.62985400000000002</v>
      </c>
    </row>
    <row r="107" spans="2:4" x14ac:dyDescent="0.25">
      <c r="B107" t="s">
        <v>934</v>
      </c>
      <c r="C107" s="201">
        <v>9.8439789999999991</v>
      </c>
      <c r="D107" s="201">
        <v>0.10158499999999999</v>
      </c>
    </row>
    <row r="108" spans="2:4" x14ac:dyDescent="0.25">
      <c r="B108" t="s">
        <v>988</v>
      </c>
      <c r="C108" s="201">
        <v>0.38490200000000002</v>
      </c>
      <c r="D108" s="201">
        <v>2.5980639999999999</v>
      </c>
    </row>
    <row r="109" spans="2:4" x14ac:dyDescent="0.25">
      <c r="B109" t="s">
        <v>989</v>
      </c>
      <c r="C109" s="201">
        <v>226.18776199999999</v>
      </c>
      <c r="D109" s="201">
        <v>4.4209999999999996E-3</v>
      </c>
    </row>
    <row r="110" spans="2:4" x14ac:dyDescent="0.25">
      <c r="B110" t="s">
        <v>990</v>
      </c>
      <c r="C110" s="201">
        <v>55.174090999999997</v>
      </c>
      <c r="D110" s="201">
        <v>1.8124000000000001E-2</v>
      </c>
    </row>
    <row r="111" spans="2:4" x14ac:dyDescent="0.25">
      <c r="B111" t="s">
        <v>991</v>
      </c>
      <c r="C111" s="201">
        <v>4.369847</v>
      </c>
      <c r="D111" s="201">
        <v>0.22884099999999999</v>
      </c>
    </row>
    <row r="112" spans="2:4" x14ac:dyDescent="0.25">
      <c r="B112" t="s">
        <v>992</v>
      </c>
      <c r="C112" s="201">
        <v>3.64</v>
      </c>
      <c r="D112" s="201">
        <v>0.274725</v>
      </c>
    </row>
    <row r="113" spans="2:4" x14ac:dyDescent="0.25">
      <c r="B113" t="s">
        <v>993</v>
      </c>
      <c r="C113" s="201">
        <v>4.6287510000000003</v>
      </c>
      <c r="D113" s="201">
        <v>0.21604100000000001</v>
      </c>
    </row>
    <row r="114" spans="2:4" x14ac:dyDescent="0.25">
      <c r="B114" t="s">
        <v>937</v>
      </c>
      <c r="C114" s="201">
        <v>68.399856999999997</v>
      </c>
      <c r="D114" s="201">
        <v>1.4619999999999999E-2</v>
      </c>
    </row>
    <row r="115" spans="2:4" x14ac:dyDescent="0.25">
      <c r="B115" t="s">
        <v>941</v>
      </c>
      <c r="C115" s="201">
        <v>3.75</v>
      </c>
      <c r="D115" s="201">
        <v>0.26666699999999999</v>
      </c>
    </row>
    <row r="116" spans="2:4" x14ac:dyDescent="0.25">
      <c r="B116" t="s">
        <v>994</v>
      </c>
      <c r="C116" s="201">
        <v>1.347685</v>
      </c>
      <c r="D116" s="201">
        <v>0.74201300000000003</v>
      </c>
    </row>
    <row r="117" spans="2:4" x14ac:dyDescent="0.25">
      <c r="B117" t="s">
        <v>944</v>
      </c>
      <c r="C117" s="201">
        <v>17.017123999999999</v>
      </c>
      <c r="D117" s="201">
        <v>5.8763999999999997E-2</v>
      </c>
    </row>
    <row r="118" spans="2:4" x14ac:dyDescent="0.25">
      <c r="B118" t="s">
        <v>920</v>
      </c>
      <c r="C118" s="201">
        <v>1275.381492</v>
      </c>
      <c r="D118" s="201">
        <v>7.8399999999999997E-4</v>
      </c>
    </row>
    <row r="119" spans="2:4" x14ac:dyDescent="0.25">
      <c r="B119" t="s">
        <v>995</v>
      </c>
      <c r="C119" s="201">
        <v>365.47807299999999</v>
      </c>
      <c r="D119" s="201">
        <v>2.7360000000000002E-3</v>
      </c>
    </row>
    <row r="120" spans="2:4" x14ac:dyDescent="0.25">
      <c r="B120" t="s">
        <v>948</v>
      </c>
      <c r="C120" s="201">
        <v>10.502952000000001</v>
      </c>
      <c r="D120" s="201">
        <v>9.5211000000000004E-2</v>
      </c>
    </row>
    <row r="121" spans="2:4" x14ac:dyDescent="0.25">
      <c r="B121" t="s">
        <v>951</v>
      </c>
      <c r="C121" s="201">
        <v>0.93260600000000005</v>
      </c>
      <c r="D121" s="201">
        <v>1.0722640000000001</v>
      </c>
    </row>
    <row r="122" spans="2:4" x14ac:dyDescent="0.25">
      <c r="B122" t="s">
        <v>955</v>
      </c>
      <c r="C122" s="201">
        <v>30.709696999999998</v>
      </c>
      <c r="D122" s="201">
        <v>3.2563000000000002E-2</v>
      </c>
    </row>
    <row r="123" spans="2:4" x14ac:dyDescent="0.25">
      <c r="B123" t="s">
        <v>996</v>
      </c>
      <c r="C123" s="201">
        <v>34.727556999999997</v>
      </c>
      <c r="D123" s="201">
        <v>2.8795999999999999E-2</v>
      </c>
    </row>
    <row r="124" spans="2:4" x14ac:dyDescent="0.25">
      <c r="B124" t="s">
        <v>997</v>
      </c>
      <c r="C124" s="201">
        <v>6.7845519999999997</v>
      </c>
      <c r="D124" s="201">
        <v>0.147394</v>
      </c>
    </row>
    <row r="125" spans="2:4" x14ac:dyDescent="0.25">
      <c r="B125" t="s">
        <v>959</v>
      </c>
      <c r="C125" s="201">
        <v>18.677775</v>
      </c>
      <c r="D125" s="201">
        <v>5.3539999999999997E-2</v>
      </c>
    </row>
    <row r="126" spans="2:4" x14ac:dyDescent="0.25">
      <c r="B126" t="s">
        <v>998</v>
      </c>
      <c r="C126" s="201">
        <v>1648213.7797930001</v>
      </c>
      <c r="D126" s="201">
        <v>9.9999999999999995E-7</v>
      </c>
    </row>
  </sheetData>
  <mergeCells count="3">
    <mergeCell ref="C5:D5"/>
    <mergeCell ref="B2:H2"/>
    <mergeCell ref="B4:H4"/>
  </mergeCells>
  <phoneticPr fontId="87" type="noConversion"/>
  <dataValidations count="1">
    <dataValidation type="list" allowBlank="1" showInputMessage="1" showErrorMessage="1" sqref="C5:D5" xr:uid="{045CD183-5250-4D65-8AC7-1E0E240EB676}">
      <formula1>$C$45:$C$68</formula1>
    </dataValidation>
  </dataValidations>
  <hyperlinks>
    <hyperlink ref="B72" r:id="rId1" xr:uid="{6C5DC800-3660-47AE-9C07-ED14803C9770}"/>
  </hyperlinks>
  <pageMargins left="0.7" right="0.7" top="0.75" bottom="0.75" header="0.3" footer="0.3"/>
  <pageSetup orientation="portrait" horizontalDpi="0" verticalDpi="0" r:id="rId2"/>
  <drawing r:id="rId3"/>
  <tableParts count="2">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283F3-639E-43BD-A155-0652FC3D0E83}">
  <sheetPr codeName="Sheet1"/>
  <dimension ref="A1:K46"/>
  <sheetViews>
    <sheetView showGridLines="0" topLeftCell="A24" workbookViewId="0"/>
  </sheetViews>
  <sheetFormatPr defaultColWidth="8.875" defaultRowHeight="15.75" x14ac:dyDescent="0.25"/>
  <cols>
    <col min="1" max="1" width="3.375" customWidth="1"/>
    <col min="2" max="2" width="2.875" customWidth="1"/>
    <col min="3" max="3" width="23.75" customWidth="1"/>
    <col min="4" max="4" width="15.125" customWidth="1"/>
    <col min="5" max="5" width="63.875" customWidth="1"/>
    <col min="6" max="11" width="7.125" customWidth="1"/>
  </cols>
  <sheetData>
    <row r="1" spans="1:11" x14ac:dyDescent="0.25">
      <c r="A1" s="90" t="s">
        <v>71</v>
      </c>
    </row>
    <row r="2" spans="1:11" ht="33" customHeight="1" x14ac:dyDescent="0.25">
      <c r="A2" s="90"/>
    </row>
    <row r="3" spans="1:11" ht="31.5" x14ac:dyDescent="0.5">
      <c r="A3" s="2" t="s">
        <v>72</v>
      </c>
    </row>
    <row r="4" spans="1:11" ht="6.75" customHeight="1" x14ac:dyDescent="0.25"/>
    <row r="5" spans="1:11" ht="31.5" x14ac:dyDescent="0.5">
      <c r="A5" s="2" t="s">
        <v>73</v>
      </c>
    </row>
    <row r="6" spans="1:11" ht="44.25" customHeight="1" x14ac:dyDescent="0.25">
      <c r="B6" s="324"/>
      <c r="C6" s="324"/>
      <c r="D6" s="324"/>
      <c r="E6" s="324"/>
    </row>
    <row r="7" spans="1:11" ht="19.5" x14ac:dyDescent="0.3">
      <c r="A7" s="46" t="s">
        <v>74</v>
      </c>
    </row>
    <row r="8" spans="1:11" x14ac:dyDescent="0.25">
      <c r="C8" s="324" t="s">
        <v>75</v>
      </c>
      <c r="D8" s="324"/>
      <c r="E8" s="324"/>
    </row>
    <row r="9" spans="1:11" ht="33" customHeight="1" x14ac:dyDescent="0.25">
      <c r="C9" s="325" t="s">
        <v>76</v>
      </c>
      <c r="D9" s="325"/>
      <c r="E9" s="325"/>
    </row>
    <row r="10" spans="1:11" x14ac:dyDescent="0.25">
      <c r="C10" s="325" t="s">
        <v>77</v>
      </c>
      <c r="D10" s="325"/>
      <c r="E10" s="325"/>
    </row>
    <row r="11" spans="1:11" x14ac:dyDescent="0.25">
      <c r="C11" s="325" t="s">
        <v>78</v>
      </c>
      <c r="D11" s="325"/>
      <c r="E11" s="325"/>
    </row>
    <row r="12" spans="1:11" ht="33.75" customHeight="1" x14ac:dyDescent="0.25">
      <c r="C12" s="325" t="s">
        <v>79</v>
      </c>
      <c r="D12" s="325"/>
      <c r="E12" s="325"/>
    </row>
    <row r="13" spans="1:11" ht="33.75" customHeight="1" x14ac:dyDescent="0.25">
      <c r="C13" s="339" t="s">
        <v>80</v>
      </c>
      <c r="D13" s="339"/>
      <c r="E13" s="339"/>
    </row>
    <row r="14" spans="1:11" x14ac:dyDescent="0.25">
      <c r="C14" s="324" t="s">
        <v>81</v>
      </c>
      <c r="D14" s="324"/>
      <c r="E14" s="324"/>
    </row>
    <row r="15" spans="1:11" ht="33.75" customHeight="1" x14ac:dyDescent="0.25">
      <c r="C15" s="324" t="s">
        <v>1345</v>
      </c>
      <c r="D15" s="324"/>
      <c r="E15" s="324"/>
    </row>
    <row r="16" spans="1:11" ht="36.75" customHeight="1" thickBot="1" x14ac:dyDescent="0.35">
      <c r="A16" s="46" t="s">
        <v>72</v>
      </c>
      <c r="F16" s="329" t="s">
        <v>82</v>
      </c>
      <c r="G16" s="329"/>
      <c r="H16" s="329"/>
      <c r="I16" s="329"/>
      <c r="J16" s="329"/>
      <c r="K16" s="329"/>
    </row>
    <row r="17" spans="3:11" ht="48" thickBot="1" x14ac:dyDescent="0.3">
      <c r="C17" s="86" t="s">
        <v>83</v>
      </c>
      <c r="D17" s="87" t="s">
        <v>84</v>
      </c>
      <c r="E17" s="87" t="s">
        <v>85</v>
      </c>
      <c r="F17" s="87" t="s">
        <v>86</v>
      </c>
      <c r="G17" s="87" t="s">
        <v>87</v>
      </c>
      <c r="H17" s="87" t="s">
        <v>1269</v>
      </c>
      <c r="I17" s="87" t="s">
        <v>88</v>
      </c>
      <c r="J17" s="87" t="s">
        <v>89</v>
      </c>
      <c r="K17" s="87" t="s">
        <v>90</v>
      </c>
    </row>
    <row r="18" spans="3:11" ht="96" thickTop="1" thickBot="1" x14ac:dyDescent="0.3">
      <c r="C18" s="196" t="s">
        <v>91</v>
      </c>
      <c r="D18" s="296" t="s">
        <v>92</v>
      </c>
      <c r="E18" s="85" t="s">
        <v>93</v>
      </c>
      <c r="F18" s="100" t="s">
        <v>94</v>
      </c>
      <c r="G18" s="100" t="s">
        <v>94</v>
      </c>
      <c r="H18" s="291" t="s">
        <v>1272</v>
      </c>
      <c r="I18" s="100" t="s">
        <v>94</v>
      </c>
      <c r="J18" s="100" t="s">
        <v>94</v>
      </c>
      <c r="K18" s="100" t="s">
        <v>94</v>
      </c>
    </row>
    <row r="19" spans="3:11" ht="109.5" customHeight="1" thickBot="1" x14ac:dyDescent="0.3">
      <c r="C19" s="178" t="s">
        <v>26</v>
      </c>
      <c r="D19" s="326" t="s">
        <v>95</v>
      </c>
      <c r="E19" s="327"/>
      <c r="F19" s="327"/>
      <c r="G19" s="327"/>
      <c r="H19" s="327"/>
      <c r="I19" s="327"/>
      <c r="J19" s="327"/>
      <c r="K19" s="328"/>
    </row>
    <row r="20" spans="3:11" ht="32.25" thickBot="1" x14ac:dyDescent="0.3">
      <c r="C20" s="281" t="s">
        <v>96</v>
      </c>
      <c r="D20" s="295" t="s">
        <v>26</v>
      </c>
      <c r="E20" s="85" t="s">
        <v>97</v>
      </c>
      <c r="F20" s="100" t="s">
        <v>94</v>
      </c>
      <c r="G20" s="100" t="s">
        <v>94</v>
      </c>
      <c r="H20" s="100" t="s">
        <v>94</v>
      </c>
      <c r="I20" s="100" t="s">
        <v>94</v>
      </c>
      <c r="J20" s="100" t="s">
        <v>94</v>
      </c>
      <c r="K20" s="100" t="s">
        <v>94</v>
      </c>
    </row>
    <row r="21" spans="3:11" ht="63.75" thickBot="1" x14ac:dyDescent="0.3">
      <c r="C21" s="281" t="s">
        <v>98</v>
      </c>
      <c r="D21" s="295" t="s">
        <v>99</v>
      </c>
      <c r="E21" s="85" t="s">
        <v>100</v>
      </c>
      <c r="F21" s="100" t="s">
        <v>94</v>
      </c>
      <c r="G21" s="100" t="s">
        <v>94</v>
      </c>
      <c r="H21" s="114" t="s">
        <v>101</v>
      </c>
      <c r="I21" s="114" t="s">
        <v>101</v>
      </c>
      <c r="J21" s="100" t="s">
        <v>94</v>
      </c>
      <c r="K21" s="114" t="s">
        <v>101</v>
      </c>
    </row>
    <row r="22" spans="3:11" ht="48" thickBot="1" x14ac:dyDescent="0.3">
      <c r="C22" s="281" t="s">
        <v>102</v>
      </c>
      <c r="D22" s="295" t="s">
        <v>103</v>
      </c>
      <c r="E22" s="85" t="s">
        <v>104</v>
      </c>
      <c r="F22" s="100" t="s">
        <v>94</v>
      </c>
      <c r="G22" s="100" t="s">
        <v>94</v>
      </c>
      <c r="H22" s="100" t="s">
        <v>94</v>
      </c>
      <c r="I22" s="100" t="s">
        <v>94</v>
      </c>
      <c r="J22" s="100" t="s">
        <v>94</v>
      </c>
      <c r="K22" s="100" t="s">
        <v>94</v>
      </c>
    </row>
    <row r="23" spans="3:11" ht="32.25" thickBot="1" x14ac:dyDescent="0.3">
      <c r="C23" s="89" t="s">
        <v>110</v>
      </c>
      <c r="D23" s="297" t="s">
        <v>110</v>
      </c>
      <c r="E23" s="85" t="s">
        <v>1274</v>
      </c>
      <c r="F23" s="100" t="s">
        <v>94</v>
      </c>
      <c r="G23" s="100" t="s">
        <v>94</v>
      </c>
      <c r="H23" s="114" t="s">
        <v>101</v>
      </c>
      <c r="I23" s="100" t="s">
        <v>94</v>
      </c>
      <c r="J23" s="100" t="s">
        <v>94</v>
      </c>
      <c r="K23" s="100" t="s">
        <v>94</v>
      </c>
    </row>
    <row r="24" spans="3:11" ht="32.25" thickBot="1" x14ac:dyDescent="0.3">
      <c r="C24" s="89" t="s">
        <v>105</v>
      </c>
      <c r="D24" s="297" t="s">
        <v>105</v>
      </c>
      <c r="E24" s="85" t="s">
        <v>106</v>
      </c>
      <c r="F24" s="100" t="s">
        <v>94</v>
      </c>
      <c r="G24" s="100" t="s">
        <v>94</v>
      </c>
      <c r="H24" s="100" t="s">
        <v>94</v>
      </c>
      <c r="I24" s="100" t="s">
        <v>94</v>
      </c>
      <c r="J24" s="100" t="s">
        <v>94</v>
      </c>
      <c r="K24" s="100" t="s">
        <v>94</v>
      </c>
    </row>
    <row r="25" spans="3:11" ht="48" thickBot="1" x14ac:dyDescent="0.3">
      <c r="C25" s="89" t="s">
        <v>107</v>
      </c>
      <c r="D25" s="297" t="s">
        <v>108</v>
      </c>
      <c r="E25" s="85" t="s">
        <v>109</v>
      </c>
      <c r="F25" s="100" t="s">
        <v>94</v>
      </c>
      <c r="G25" s="100" t="s">
        <v>94</v>
      </c>
      <c r="H25" s="100" t="s">
        <v>94</v>
      </c>
      <c r="I25" s="100" t="s">
        <v>94</v>
      </c>
      <c r="J25" s="100" t="s">
        <v>94</v>
      </c>
      <c r="K25" s="100" t="s">
        <v>94</v>
      </c>
    </row>
    <row r="26" spans="3:11" ht="32.25" thickBot="1" x14ac:dyDescent="0.3">
      <c r="C26" s="89" t="s">
        <v>111</v>
      </c>
      <c r="D26" s="297" t="s">
        <v>112</v>
      </c>
      <c r="E26" s="85" t="s">
        <v>113</v>
      </c>
      <c r="F26" s="100" t="s">
        <v>94</v>
      </c>
      <c r="G26" s="100" t="s">
        <v>94</v>
      </c>
      <c r="H26" s="114" t="s">
        <v>101</v>
      </c>
      <c r="I26" s="100" t="s">
        <v>94</v>
      </c>
      <c r="J26" s="100" t="s">
        <v>94</v>
      </c>
      <c r="K26" s="100" t="s">
        <v>94</v>
      </c>
    </row>
    <row r="27" spans="3:11" ht="48" thickBot="1" x14ac:dyDescent="0.3">
      <c r="C27" s="89" t="s">
        <v>114</v>
      </c>
      <c r="D27" s="297" t="s">
        <v>114</v>
      </c>
      <c r="E27" s="85" t="s">
        <v>115</v>
      </c>
      <c r="F27" s="100" t="s">
        <v>94</v>
      </c>
      <c r="G27" s="100" t="s">
        <v>94</v>
      </c>
      <c r="H27" s="114" t="s">
        <v>101</v>
      </c>
      <c r="I27" s="114" t="s">
        <v>101</v>
      </c>
      <c r="J27" s="100" t="s">
        <v>94</v>
      </c>
      <c r="K27" s="115" t="s">
        <v>101</v>
      </c>
    </row>
    <row r="28" spans="3:11" ht="32.25" thickBot="1" x14ac:dyDescent="0.3">
      <c r="C28" s="89" t="s">
        <v>116</v>
      </c>
      <c r="D28" s="88" t="s">
        <v>117</v>
      </c>
      <c r="E28" s="85" t="s">
        <v>118</v>
      </c>
      <c r="F28" s="100" t="s">
        <v>94</v>
      </c>
      <c r="G28" s="100" t="s">
        <v>94</v>
      </c>
      <c r="H28" s="100" t="s">
        <v>94</v>
      </c>
      <c r="I28" s="100" t="s">
        <v>94</v>
      </c>
      <c r="J28" s="100" t="s">
        <v>94</v>
      </c>
      <c r="K28" s="100" t="s">
        <v>94</v>
      </c>
    </row>
    <row r="29" spans="3:11" ht="48" thickBot="1" x14ac:dyDescent="0.3">
      <c r="C29" s="89" t="s">
        <v>119</v>
      </c>
      <c r="D29" s="88" t="s">
        <v>120</v>
      </c>
      <c r="E29" s="85" t="s">
        <v>121</v>
      </c>
      <c r="F29" s="100" t="s">
        <v>94</v>
      </c>
      <c r="G29" s="100" t="s">
        <v>94</v>
      </c>
      <c r="H29" s="100" t="s">
        <v>94</v>
      </c>
      <c r="I29" s="100" t="s">
        <v>94</v>
      </c>
      <c r="J29" s="100" t="s">
        <v>94</v>
      </c>
      <c r="K29" s="100" t="s">
        <v>94</v>
      </c>
    </row>
    <row r="30" spans="3:11" ht="38.25" thickBot="1" x14ac:dyDescent="0.3">
      <c r="C30" s="89" t="s">
        <v>1198</v>
      </c>
      <c r="D30" s="88" t="s">
        <v>1197</v>
      </c>
      <c r="E30" s="85" t="s">
        <v>1230</v>
      </c>
      <c r="F30" s="100" t="s">
        <v>94</v>
      </c>
      <c r="G30" s="100" t="s">
        <v>94</v>
      </c>
      <c r="H30" s="100" t="s">
        <v>94</v>
      </c>
      <c r="I30" s="100" t="s">
        <v>94</v>
      </c>
      <c r="J30" s="100" t="s">
        <v>94</v>
      </c>
      <c r="K30" s="100" t="s">
        <v>94</v>
      </c>
    </row>
    <row r="31" spans="3:11" ht="48" thickBot="1" x14ac:dyDescent="0.3">
      <c r="C31" s="89" t="s">
        <v>122</v>
      </c>
      <c r="D31" s="88" t="s">
        <v>122</v>
      </c>
      <c r="E31" s="85" t="s">
        <v>123</v>
      </c>
      <c r="F31" s="100" t="s">
        <v>94</v>
      </c>
      <c r="G31" s="100" t="s">
        <v>94</v>
      </c>
      <c r="H31" s="100" t="s">
        <v>94</v>
      </c>
      <c r="I31" s="100" t="s">
        <v>94</v>
      </c>
      <c r="J31" s="100" t="s">
        <v>94</v>
      </c>
      <c r="K31" s="100" t="s">
        <v>94</v>
      </c>
    </row>
    <row r="32" spans="3:11" ht="32.25" thickBot="1" x14ac:dyDescent="0.3">
      <c r="C32" s="292" t="s">
        <v>1275</v>
      </c>
      <c r="D32" s="294" t="s">
        <v>1276</v>
      </c>
      <c r="E32" s="293" t="s">
        <v>1277</v>
      </c>
      <c r="F32" s="330" t="s">
        <v>126</v>
      </c>
      <c r="G32" s="331"/>
      <c r="H32" s="331"/>
      <c r="I32" s="331"/>
      <c r="J32" s="331"/>
      <c r="K32" s="332"/>
    </row>
    <row r="33" spans="3:11" ht="48" thickBot="1" x14ac:dyDescent="0.3">
      <c r="C33" s="89" t="s">
        <v>124</v>
      </c>
      <c r="D33" s="294" t="s">
        <v>124</v>
      </c>
      <c r="E33" s="85" t="s">
        <v>125</v>
      </c>
      <c r="F33" s="333"/>
      <c r="G33" s="334"/>
      <c r="H33" s="334"/>
      <c r="I33" s="334"/>
      <c r="J33" s="334"/>
      <c r="K33" s="335"/>
    </row>
    <row r="34" spans="3:11" ht="32.25" thickBot="1" x14ac:dyDescent="0.3">
      <c r="C34" s="89" t="s">
        <v>127</v>
      </c>
      <c r="D34" s="294" t="s">
        <v>128</v>
      </c>
      <c r="E34" s="85" t="s">
        <v>129</v>
      </c>
      <c r="F34" s="333"/>
      <c r="G34" s="334"/>
      <c r="H34" s="334"/>
      <c r="I34" s="334"/>
      <c r="J34" s="334"/>
      <c r="K34" s="335"/>
    </row>
    <row r="35" spans="3:11" ht="48" thickBot="1" x14ac:dyDescent="0.3">
      <c r="C35" s="89" t="s">
        <v>130</v>
      </c>
      <c r="D35" s="294" t="s">
        <v>131</v>
      </c>
      <c r="E35" s="85" t="s">
        <v>132</v>
      </c>
      <c r="F35" s="333"/>
      <c r="G35" s="334"/>
      <c r="H35" s="334"/>
      <c r="I35" s="334"/>
      <c r="J35" s="334"/>
      <c r="K35" s="335"/>
    </row>
    <row r="36" spans="3:11" ht="79.5" thickBot="1" x14ac:dyDescent="0.3">
      <c r="C36" s="89" t="s">
        <v>133</v>
      </c>
      <c r="D36" s="294" t="s">
        <v>117</v>
      </c>
      <c r="E36" s="85" t="s">
        <v>134</v>
      </c>
      <c r="F36" s="336"/>
      <c r="G36" s="337"/>
      <c r="H36" s="337"/>
      <c r="I36" s="337"/>
      <c r="J36" s="337"/>
      <c r="K36" s="338"/>
    </row>
    <row r="38" spans="3:11" ht="18.75" x14ac:dyDescent="0.25">
      <c r="C38" s="113" t="s">
        <v>135</v>
      </c>
    </row>
    <row r="39" spans="3:11" ht="30" customHeight="1" x14ac:dyDescent="0.25">
      <c r="C39" s="321" t="s">
        <v>1270</v>
      </c>
      <c r="D39" s="322"/>
      <c r="E39" s="322"/>
    </row>
    <row r="40" spans="3:11" ht="19.5" customHeight="1" x14ac:dyDescent="0.25">
      <c r="C40" s="321" t="s">
        <v>1271</v>
      </c>
      <c r="D40" s="322"/>
      <c r="E40" s="322"/>
    </row>
    <row r="41" spans="3:11" ht="19.5" customHeight="1" x14ac:dyDescent="0.25">
      <c r="C41" s="320" t="s">
        <v>1273</v>
      </c>
      <c r="D41" s="320"/>
      <c r="E41" s="320"/>
    </row>
    <row r="42" spans="3:11" ht="18" customHeight="1" x14ac:dyDescent="0.25">
      <c r="C42" s="322" t="s">
        <v>136</v>
      </c>
      <c r="D42" s="322"/>
      <c r="E42" s="322"/>
    </row>
    <row r="43" spans="3:11" ht="34.5" customHeight="1" x14ac:dyDescent="0.25">
      <c r="C43" s="323" t="s">
        <v>1137</v>
      </c>
      <c r="D43" s="322"/>
      <c r="E43" s="322"/>
    </row>
    <row r="44" spans="3:11" x14ac:dyDescent="0.25">
      <c r="C44" s="322" t="s">
        <v>137</v>
      </c>
      <c r="D44" s="322"/>
      <c r="E44" s="322"/>
    </row>
    <row r="46" spans="3:11" ht="34.5" customHeight="1" x14ac:dyDescent="0.25"/>
  </sheetData>
  <mergeCells count="18">
    <mergeCell ref="D19:K19"/>
    <mergeCell ref="F16:K16"/>
    <mergeCell ref="F32:K36"/>
    <mergeCell ref="C12:E12"/>
    <mergeCell ref="C14:E14"/>
    <mergeCell ref="C15:E15"/>
    <mergeCell ref="C13:E13"/>
    <mergeCell ref="B6:E6"/>
    <mergeCell ref="C8:E8"/>
    <mergeCell ref="C9:E9"/>
    <mergeCell ref="C10:E10"/>
    <mergeCell ref="C11:E11"/>
    <mergeCell ref="C41:E41"/>
    <mergeCell ref="C39:E39"/>
    <mergeCell ref="C42:E42"/>
    <mergeCell ref="C43:E43"/>
    <mergeCell ref="C44:E44"/>
    <mergeCell ref="C40:E40"/>
  </mergeCells>
  <hyperlinks>
    <hyperlink ref="D18" location="'Text &amp; Lists'!A1" display="Lists" xr:uid="{E0753304-7F27-4DCF-BFC3-7FDC36B8AE9D}"/>
    <hyperlink ref="D20" location="Tables!A1" display="Tables" xr:uid="{2C58907F-CE38-4E96-B177-AF5A935D6F68}"/>
    <hyperlink ref="D22" location="Image!A1" display="Range Image" xr:uid="{6EAFC0AE-67B9-4A06-AAF0-0DA499136C3E}"/>
    <hyperlink ref="D28" location="Misc!A1" display="Misc" xr:uid="{12D51C39-6632-48BA-9865-B3A3C977F949}"/>
    <hyperlink ref="D31" location="'Mail Merge'!A1" display="Mail Merge" xr:uid="{CB376450-A235-43B0-821D-34BA0B04586D}"/>
    <hyperlink ref="D34" location="Currency!A1" display="Currency" xr:uid="{D356BF91-0394-4505-A6BF-9EEC02BA3E42}"/>
    <hyperlink ref="D35" location="Language!A1" display="Language" xr:uid="{5F8596E7-8B7D-4F23-9C89-6D1CF6FAE4BF}"/>
    <hyperlink ref="D36" location="Misc!A1" display="Misc" xr:uid="{F3AF6E6B-660B-4613-BCCC-1FD56363CFC2}"/>
    <hyperlink ref="D29" location="'Conditional Content'!A1" display="Conditional Sections" xr:uid="{6CF8DB68-D7A4-496B-A6BC-4393AD38557B}"/>
    <hyperlink ref="D23" location="Charts!A1" display="Charts" xr:uid="{0AD0C5CF-0DBB-4D73-8FD5-53844936A0A7}"/>
    <hyperlink ref="D33" location="'Conditional Submit'!A1" display="Conditional Submit" xr:uid="{711D4BE3-BBB6-4183-B864-7F3D60484F1D}"/>
    <hyperlink ref="D27" location="HTML!A1" display="HTML" xr:uid="{C5319B43-5FA7-45FE-9D59-6AD9C4724638}"/>
    <hyperlink ref="D21" location="Flex!A1" display="Flex Tables" xr:uid="{857A7E33-5805-4CA9-99FD-86C456F18361}"/>
    <hyperlink ref="D25" location="Shapes!A1" display="Shapes" xr:uid="{A155E837-88C4-4083-84DB-A44C52F99D6B}"/>
    <hyperlink ref="D26" location="Pivot!A1" display="Pivot" xr:uid="{C77CF1C4-75A5-43EF-9072-B98D77CDE1D1}"/>
    <hyperlink ref="D24" location="'Chart Img'!A1" display="Chart Images" xr:uid="{952CCC2F-F566-42FD-A0EF-73454387D8C3}"/>
    <hyperlink ref="D30" location="'Auto-Hide'!A1" display="Auto-Hide" xr:uid="{EE35F76D-ED03-4B3C-B86B-11682637A330}"/>
    <hyperlink ref="D32" location="E2E!A1" display="E2E" xr:uid="{759D9AC4-CFE7-4690-932A-7750C1BC3BC4}"/>
  </hyperlinks>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1BAE-B85B-4E85-8096-FBDC5A9F595E}">
  <sheetPr codeName="Sheet11">
    <tabColor theme="9" tint="-0.249977111117893"/>
  </sheetPr>
  <dimension ref="A1:H48"/>
  <sheetViews>
    <sheetView showGridLines="0" workbookViewId="0"/>
  </sheetViews>
  <sheetFormatPr defaultColWidth="8.875" defaultRowHeight="15.75" x14ac:dyDescent="0.25"/>
  <cols>
    <col min="1" max="1" width="2.125" customWidth="1"/>
    <col min="2" max="2" width="3" customWidth="1"/>
    <col min="3" max="3" width="23.625" customWidth="1"/>
    <col min="4" max="4" width="24.625" customWidth="1"/>
    <col min="5" max="5" width="26.375" customWidth="1"/>
    <col min="6" max="6" width="26.5" customWidth="1"/>
    <col min="7" max="7" width="24" customWidth="1"/>
  </cols>
  <sheetData>
    <row r="1" spans="1:8" ht="31.5" x14ac:dyDescent="0.5">
      <c r="A1" s="2" t="s">
        <v>130</v>
      </c>
    </row>
    <row r="2" spans="1:8" ht="53.25" customHeight="1" thickBot="1" x14ac:dyDescent="0.3">
      <c r="B2" s="372" t="s">
        <v>999</v>
      </c>
      <c r="C2" s="372"/>
      <c r="D2" s="372"/>
      <c r="E2" s="372"/>
      <c r="F2" s="372"/>
      <c r="G2" s="372"/>
      <c r="H2" s="372"/>
    </row>
    <row r="3" spans="1:8" ht="16.5" thickBot="1" x14ac:dyDescent="0.3">
      <c r="C3" s="17" t="s">
        <v>1000</v>
      </c>
      <c r="D3" s="43" t="s">
        <v>1001</v>
      </c>
    </row>
    <row r="4" spans="1:8" x14ac:dyDescent="0.25">
      <c r="C4" s="17" t="s">
        <v>1002</v>
      </c>
      <c r="D4" s="21">
        <f>MATCH(D3,Lang[[#Headers],[English]:[Japanese]],0)</f>
        <v>2</v>
      </c>
    </row>
    <row r="6" spans="1:8" ht="19.5" x14ac:dyDescent="0.3">
      <c r="A6" s="46" t="s">
        <v>1003</v>
      </c>
    </row>
    <row r="7" spans="1:8" x14ac:dyDescent="0.25">
      <c r="C7" s="37" t="s">
        <v>1004</v>
      </c>
      <c r="D7" s="361" t="str">
        <f>D38</f>
        <v>Evaluación del valor empresarial de la solución</v>
      </c>
      <c r="E7" s="361"/>
      <c r="F7" s="361"/>
      <c r="G7" s="361"/>
    </row>
    <row r="8" spans="1:8" ht="45" customHeight="1" x14ac:dyDescent="0.25">
      <c r="C8" s="37" t="s">
        <v>1005</v>
      </c>
      <c r="D8" s="361" t="str">
        <f>D39&amp;TEXT(F20,LangCurrencyFormat)&amp;D40&amp;TEXT(F22,LangCurrencyFormat)&amp;D41</f>
        <v>Basándonos en nuestro análisis, creemos que su empresa podría ahorrar 177.00 € millones comprando nuestra solución. Actuar hoy y se puede comprar por sólo 199.12 € Mil millones.</v>
      </c>
      <c r="E8" s="361"/>
      <c r="F8" s="361"/>
      <c r="G8" s="361"/>
    </row>
    <row r="10" spans="1:8" ht="19.5" x14ac:dyDescent="0.3">
      <c r="A10" s="46" t="s">
        <v>1006</v>
      </c>
    </row>
    <row r="12" spans="1:8" ht="17.25" x14ac:dyDescent="0.3">
      <c r="B12" s="19" t="s">
        <v>1007</v>
      </c>
    </row>
    <row r="13" spans="1:8" ht="16.5" thickBot="1" x14ac:dyDescent="0.3">
      <c r="D13" s="13" t="s">
        <v>28</v>
      </c>
      <c r="E13" s="13" t="s">
        <v>851</v>
      </c>
      <c r="F13" s="13" t="s">
        <v>852</v>
      </c>
    </row>
    <row r="14" spans="1:8" ht="16.5" thickBot="1" x14ac:dyDescent="0.3">
      <c r="C14" s="17" t="s">
        <v>853</v>
      </c>
      <c r="D14" s="215">
        <v>100</v>
      </c>
      <c r="E14" s="216">
        <f>D14*0.2</f>
        <v>20</v>
      </c>
      <c r="F14" s="216">
        <f>D14+5*E14</f>
        <v>200</v>
      </c>
    </row>
    <row r="15" spans="1:8" ht="16.5" thickBot="1" x14ac:dyDescent="0.3">
      <c r="C15" s="17" t="s">
        <v>854</v>
      </c>
      <c r="D15" s="216">
        <f>D14*0.5</f>
        <v>50</v>
      </c>
      <c r="E15" s="216">
        <f>D14*0.75</f>
        <v>75</v>
      </c>
      <c r="F15" s="216">
        <f>D15+5*E15</f>
        <v>425</v>
      </c>
    </row>
    <row r="16" spans="1:8" ht="16.5" thickTop="1" x14ac:dyDescent="0.25">
      <c r="C16" s="20" t="s">
        <v>855</v>
      </c>
      <c r="D16" s="213"/>
      <c r="E16" s="213"/>
      <c r="F16" s="217">
        <f>F15-F14</f>
        <v>225</v>
      </c>
    </row>
    <row r="18" spans="1:8" ht="17.25" x14ac:dyDescent="0.3">
      <c r="B18" s="19" t="s">
        <v>1008</v>
      </c>
    </row>
    <row r="19" spans="1:8" x14ac:dyDescent="0.25">
      <c r="D19" s="13" t="str">
        <f>D43</f>
        <v>Una vez</v>
      </c>
      <c r="E19" s="13" t="str">
        <f>D44</f>
        <v>Recurrente anual</v>
      </c>
      <c r="F19" s="13" t="str">
        <f>D45</f>
        <v>Total del proyecto</v>
      </c>
    </row>
    <row r="20" spans="1:8" x14ac:dyDescent="0.25">
      <c r="C20" s="17" t="str">
        <f>D46</f>
        <v>Inversión total</v>
      </c>
      <c r="D20" s="212">
        <f t="shared" ref="D20:F21" si="0">D14*LangExchangeRate</f>
        <v>88.498500000000007</v>
      </c>
      <c r="E20" s="212">
        <f t="shared" si="0"/>
        <v>17.6997</v>
      </c>
      <c r="F20" s="212">
        <f t="shared" si="0"/>
        <v>176.99700000000001</v>
      </c>
    </row>
    <row r="21" spans="1:8" ht="16.5" thickBot="1" x14ac:dyDescent="0.3">
      <c r="C21" s="17" t="str">
        <f>D47</f>
        <v>Total de beneficios</v>
      </c>
      <c r="D21" s="212">
        <f t="shared" si="0"/>
        <v>44.249250000000004</v>
      </c>
      <c r="E21" s="212">
        <f t="shared" si="0"/>
        <v>66.373874999999998</v>
      </c>
      <c r="F21" s="212">
        <f t="shared" si="0"/>
        <v>376.11862500000001</v>
      </c>
    </row>
    <row r="22" spans="1:8" ht="16.5" thickTop="1" x14ac:dyDescent="0.25">
      <c r="C22" s="20" t="str">
        <f>D48</f>
        <v>Beneficio neto</v>
      </c>
      <c r="D22" s="213"/>
      <c r="E22" s="213"/>
      <c r="F22" s="214">
        <f>F16*LangExchangeRate</f>
        <v>199.12162499999999</v>
      </c>
    </row>
    <row r="24" spans="1:8" ht="17.25" x14ac:dyDescent="0.3">
      <c r="B24" s="19" t="str">
        <f>"Selected Currency with Currency Format"</f>
        <v>Selected Currency with Currency Format</v>
      </c>
    </row>
    <row r="25" spans="1:8" x14ac:dyDescent="0.25">
      <c r="D25" s="13" t="str">
        <f>D19</f>
        <v>Una vez</v>
      </c>
      <c r="E25" s="13" t="str">
        <f>E19</f>
        <v>Recurrente anual</v>
      </c>
      <c r="F25" s="13" t="str">
        <f>F19</f>
        <v>Total del proyecto</v>
      </c>
    </row>
    <row r="26" spans="1:8" x14ac:dyDescent="0.25">
      <c r="C26" s="17" t="str">
        <f>C20</f>
        <v>Inversión total</v>
      </c>
      <c r="D26" s="23" t="str">
        <f t="shared" ref="D26:F27" si="1">TEXT(D20,LangCurrencyFormat)</f>
        <v>88.50 €</v>
      </c>
      <c r="E26" s="23" t="str">
        <f t="shared" si="1"/>
        <v>17.70 €</v>
      </c>
      <c r="F26" s="23" t="str">
        <f t="shared" si="1"/>
        <v>177.00 €</v>
      </c>
      <c r="G26" s="47" t="s">
        <v>1009</v>
      </c>
      <c r="H26" t="str">
        <f>D42</f>
        <v>Costos vs beneficios</v>
      </c>
    </row>
    <row r="27" spans="1:8" ht="16.5" thickBot="1" x14ac:dyDescent="0.3">
      <c r="C27" s="17" t="str">
        <f>C21</f>
        <v>Total de beneficios</v>
      </c>
      <c r="D27" s="23" t="str">
        <f t="shared" si="1"/>
        <v>44.25 €</v>
      </c>
      <c r="E27" s="23" t="str">
        <f t="shared" si="1"/>
        <v>66.37 €</v>
      </c>
      <c r="F27" s="23" t="str">
        <f t="shared" si="1"/>
        <v>376.12 €</v>
      </c>
      <c r="G27" s="47" t="s">
        <v>856</v>
      </c>
      <c r="H27" t="str">
        <f>D35</f>
        <v>Euro - €</v>
      </c>
    </row>
    <row r="28" spans="1:8" ht="16.5" thickTop="1" x14ac:dyDescent="0.25">
      <c r="C28" s="20" t="str">
        <f>C22</f>
        <v>Beneficio neto</v>
      </c>
      <c r="D28" s="24"/>
      <c r="E28" s="24"/>
      <c r="F28" s="25" t="str">
        <f>TEXT(F22,LangCurrencyFormat)</f>
        <v>199.12 €</v>
      </c>
    </row>
    <row r="29" spans="1:8" x14ac:dyDescent="0.25">
      <c r="C29" s="37" t="s">
        <v>1010</v>
      </c>
      <c r="F29" s="37" t="s">
        <v>858</v>
      </c>
    </row>
    <row r="31" spans="1:8" ht="19.5" x14ac:dyDescent="0.3">
      <c r="A31" s="46" t="s">
        <v>1011</v>
      </c>
    </row>
    <row r="32" spans="1:8" ht="46.5" customHeight="1" x14ac:dyDescent="0.3">
      <c r="B32" s="46"/>
      <c r="C32" s="342" t="s">
        <v>1012</v>
      </c>
      <c r="D32" s="342"/>
      <c r="E32" s="342"/>
      <c r="F32" s="342"/>
      <c r="G32" s="342"/>
    </row>
    <row r="33" spans="3:8" x14ac:dyDescent="0.25">
      <c r="C33" t="s">
        <v>1013</v>
      </c>
      <c r="D33" t="s">
        <v>860</v>
      </c>
      <c r="E33" s="8" t="s">
        <v>1014</v>
      </c>
      <c r="F33" s="9" t="s">
        <v>1001</v>
      </c>
      <c r="G33" s="9" t="s">
        <v>1015</v>
      </c>
    </row>
    <row r="34" spans="3:8" x14ac:dyDescent="0.25">
      <c r="C34" t="s">
        <v>1016</v>
      </c>
      <c r="D34">
        <f>INDEX(Lang[[#This Row],[English]:[Japanese]],1,$D$4)</f>
        <v>0.88498500000000002</v>
      </c>
      <c r="E34" s="11">
        <v>1</v>
      </c>
      <c r="F34">
        <v>0.88498500000000002</v>
      </c>
      <c r="G34">
        <v>113.911434</v>
      </c>
    </row>
    <row r="35" spans="3:8" x14ac:dyDescent="0.25">
      <c r="C35" t="s">
        <v>128</v>
      </c>
      <c r="D35" s="12" t="str">
        <f>INDEX(Lang[[#This Row],[English]:[Japanese]],1,$D$4)</f>
        <v>Euro - €</v>
      </c>
      <c r="E35" t="s">
        <v>1017</v>
      </c>
      <c r="F35" t="s">
        <v>1018</v>
      </c>
      <c r="G35" t="s">
        <v>1019</v>
      </c>
    </row>
    <row r="36" spans="3:8" x14ac:dyDescent="0.25">
      <c r="C36" t="s">
        <v>1020</v>
      </c>
      <c r="D36" s="12" t="str">
        <f>INDEX(Lang[[#This Row],[English]:[Japanese]],1,$D$4)</f>
        <v>€</v>
      </c>
      <c r="E36" s="11" t="s">
        <v>880</v>
      </c>
      <c r="F36" t="s">
        <v>902</v>
      </c>
      <c r="G36" t="s">
        <v>917</v>
      </c>
    </row>
    <row r="37" spans="3:8" x14ac:dyDescent="0.25">
      <c r="C37" t="s">
        <v>1021</v>
      </c>
      <c r="D37" t="str">
        <f>INDEX(Lang[[#This Row],[English]:[Japanese]],1,$D$4)</f>
        <v>#,##0.00 [$€-x-euro1]</v>
      </c>
      <c r="E37" t="str">
        <f>Currency!H68</f>
        <v>[$$-en-US]#,##0.00</v>
      </c>
      <c r="F37" t="str">
        <f>Currency!H51</f>
        <v>#,##0.00 [$€-x-euro1]</v>
      </c>
      <c r="G37" t="str">
        <f>Currency!H55</f>
        <v>[$¥-ja-JP]#,##0.00</v>
      </c>
    </row>
    <row r="38" spans="3:8" ht="17.25" x14ac:dyDescent="0.25">
      <c r="C38" t="s">
        <v>1022</v>
      </c>
      <c r="D38" t="str">
        <f>INDEX(Lang[[#This Row],[English]:[Japanese]],1,$D$4)</f>
        <v>Evaluación del valor empresarial de la solución</v>
      </c>
      <c r="E38" s="10" t="s">
        <v>1023</v>
      </c>
      <c r="F38" s="48" t="s">
        <v>1024</v>
      </c>
      <c r="G38" t="s">
        <v>1025</v>
      </c>
    </row>
    <row r="39" spans="3:8" ht="47.25" x14ac:dyDescent="0.25">
      <c r="C39" t="s">
        <v>20</v>
      </c>
      <c r="D39" t="str">
        <f>INDEX(Lang[[#This Row],[English]:[Japanese]],1,$D$4)</f>
        <v xml:space="preserve">Basándonos en nuestro análisis, creemos que su empresa podría ahorrar </v>
      </c>
      <c r="E39" s="11" t="s">
        <v>1026</v>
      </c>
      <c r="F39" t="s">
        <v>1027</v>
      </c>
      <c r="G39" s="50" t="s">
        <v>1028</v>
      </c>
    </row>
    <row r="40" spans="3:8" ht="47.25" x14ac:dyDescent="0.25">
      <c r="D40" s="12" t="str">
        <f>INDEX(Lang[[#This Row],[English]:[Japanese]],1,$D$4)</f>
        <v xml:space="preserve"> millones comprando nuestra solución. Actuar hoy y se puede comprar por sólo </v>
      </c>
      <c r="E40" s="11" t="s">
        <v>1029</v>
      </c>
      <c r="F40" t="s">
        <v>1030</v>
      </c>
      <c r="G40" t="s">
        <v>1031</v>
      </c>
    </row>
    <row r="41" spans="3:8" x14ac:dyDescent="0.25">
      <c r="D41" s="12" t="str">
        <f>INDEX(Lang[[#This Row],[English]:[Japanese]],1,$D$4)</f>
        <v xml:space="preserve"> Mil millones.</v>
      </c>
      <c r="E41" s="11" t="s">
        <v>1032</v>
      </c>
      <c r="F41" t="s">
        <v>1033</v>
      </c>
      <c r="G41" t="s">
        <v>1034</v>
      </c>
    </row>
    <row r="42" spans="3:8" ht="17.25" x14ac:dyDescent="0.25">
      <c r="C42" t="s">
        <v>1006</v>
      </c>
      <c r="D42" s="12" t="str">
        <f>INDEX(Lang[[#This Row],[English]:[Japanese]],1,$D$4)</f>
        <v>Costos vs beneficios</v>
      </c>
      <c r="E42" s="11" t="s">
        <v>1035</v>
      </c>
      <c r="F42" s="245" t="s">
        <v>1036</v>
      </c>
      <c r="G42" s="49" t="s">
        <v>1037</v>
      </c>
      <c r="H42" s="48"/>
    </row>
    <row r="43" spans="3:8" x14ac:dyDescent="0.25">
      <c r="C43" t="s">
        <v>1006</v>
      </c>
      <c r="D43" s="12" t="str">
        <f>INDEX(Lang[[#This Row],[English]:[Japanese]],1,$D$4)</f>
        <v>Una vez</v>
      </c>
      <c r="E43" t="str">
        <f>D13</f>
        <v>One Time</v>
      </c>
      <c r="F43" s="245" t="s">
        <v>1038</v>
      </c>
      <c r="G43" s="49" t="s">
        <v>1039</v>
      </c>
    </row>
    <row r="44" spans="3:8" x14ac:dyDescent="0.25">
      <c r="C44" t="s">
        <v>1006</v>
      </c>
      <c r="D44" s="12" t="str">
        <f>INDEX(Lang[[#This Row],[English]:[Japanese]],1,$D$4)</f>
        <v>Recurrente anual</v>
      </c>
      <c r="E44" t="str">
        <f>E13</f>
        <v>Annual Recurring</v>
      </c>
      <c r="F44" s="245" t="s">
        <v>1040</v>
      </c>
      <c r="G44" s="49" t="s">
        <v>1041</v>
      </c>
    </row>
    <row r="45" spans="3:8" x14ac:dyDescent="0.25">
      <c r="C45" t="s">
        <v>1006</v>
      </c>
      <c r="D45" s="12" t="str">
        <f>INDEX(Lang[[#This Row],[English]:[Japanese]],1,$D$4)</f>
        <v>Total del proyecto</v>
      </c>
      <c r="E45" t="str">
        <f>F13</f>
        <v>Project Total</v>
      </c>
      <c r="F45" s="245" t="s">
        <v>1042</v>
      </c>
      <c r="G45" s="49" t="s">
        <v>1043</v>
      </c>
    </row>
    <row r="46" spans="3:8" x14ac:dyDescent="0.25">
      <c r="C46" t="s">
        <v>1006</v>
      </c>
      <c r="D46" s="12" t="str">
        <f>INDEX(Lang[[#This Row],[English]:[Japanese]],1,$D$4)</f>
        <v>Inversión total</v>
      </c>
      <c r="E46" t="str">
        <f>C14</f>
        <v>Total Investment</v>
      </c>
      <c r="F46" s="245" t="s">
        <v>1044</v>
      </c>
      <c r="G46" s="49" t="s">
        <v>1045</v>
      </c>
    </row>
    <row r="47" spans="3:8" x14ac:dyDescent="0.25">
      <c r="C47" t="s">
        <v>1006</v>
      </c>
      <c r="D47" s="12" t="str">
        <f>INDEX(Lang[[#This Row],[English]:[Japanese]],1,$D$4)</f>
        <v>Total de beneficios</v>
      </c>
      <c r="E47" t="str">
        <f>C15</f>
        <v>Total Benefits</v>
      </c>
      <c r="F47" s="245" t="s">
        <v>1046</v>
      </c>
      <c r="G47" s="49" t="s">
        <v>1047</v>
      </c>
    </row>
    <row r="48" spans="3:8" x14ac:dyDescent="0.25">
      <c r="C48" t="s">
        <v>1006</v>
      </c>
      <c r="D48" s="12" t="str">
        <f>INDEX(Lang[[#This Row],[English]:[Japanese]],1,$D$4)</f>
        <v>Beneficio neto</v>
      </c>
      <c r="E48" t="str">
        <f>C16</f>
        <v>Net Benefit</v>
      </c>
      <c r="F48" s="245" t="s">
        <v>1048</v>
      </c>
      <c r="G48" s="49" t="s">
        <v>1049</v>
      </c>
    </row>
  </sheetData>
  <mergeCells count="4">
    <mergeCell ref="C32:G32"/>
    <mergeCell ref="D7:G7"/>
    <mergeCell ref="D8:G8"/>
    <mergeCell ref="B2:H2"/>
  </mergeCells>
  <dataValidations count="1">
    <dataValidation type="list" allowBlank="1" showInputMessage="1" showErrorMessage="1" sqref="D3" xr:uid="{F673B1EB-CC3C-4F9D-86EC-FD2C9653B0A2}">
      <formula1>$E$33:$G$33</formula1>
    </dataValidation>
  </dataValidations>
  <pageMargins left="0.7" right="0.7" top="0.75" bottom="0.75" header="0.3" footer="0.3"/>
  <pageSetup orientation="portrait" horizontalDpi="0" verticalDpi="0"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8449-577A-43A1-80B2-279C52A19C25}">
  <sheetPr codeName="Sheet8">
    <tabColor theme="9" tint="-0.249977111117893"/>
  </sheetPr>
  <dimension ref="A1:C21"/>
  <sheetViews>
    <sheetView showGridLines="0" workbookViewId="0"/>
  </sheetViews>
  <sheetFormatPr defaultColWidth="8.875" defaultRowHeight="15.75" x14ac:dyDescent="0.25"/>
  <cols>
    <col min="1" max="1" width="4.125" customWidth="1"/>
    <col min="2" max="2" width="3.625" customWidth="1"/>
    <col min="3" max="3" width="111.625" customWidth="1"/>
  </cols>
  <sheetData>
    <row r="1" spans="1:3" ht="31.5" x14ac:dyDescent="0.5">
      <c r="A1" s="2" t="s">
        <v>1050</v>
      </c>
    </row>
    <row r="3" spans="1:3" ht="19.5" x14ac:dyDescent="0.3">
      <c r="A3" s="46" t="s">
        <v>116</v>
      </c>
    </row>
    <row r="4" spans="1:3" ht="30" x14ac:dyDescent="0.25">
      <c r="C4" s="37" t="s">
        <v>1051</v>
      </c>
    </row>
    <row r="5" spans="1:3" ht="17.25" x14ac:dyDescent="0.25">
      <c r="B5" s="83" t="s">
        <v>619</v>
      </c>
    </row>
    <row r="6" spans="1:3" ht="47.25" customHeight="1" x14ac:dyDescent="0.25">
      <c r="C6" s="37" t="s">
        <v>1052</v>
      </c>
    </row>
    <row r="7" spans="1:3" ht="17.25" x14ac:dyDescent="0.25">
      <c r="B7" s="83" t="s">
        <v>623</v>
      </c>
    </row>
    <row r="8" spans="1:3" ht="48" customHeight="1" x14ac:dyDescent="0.25">
      <c r="C8" s="37" t="s">
        <v>1053</v>
      </c>
    </row>
    <row r="9" spans="1:3" ht="17.25" x14ac:dyDescent="0.25">
      <c r="B9" s="83" t="s">
        <v>1054</v>
      </c>
    </row>
    <row r="10" spans="1:3" x14ac:dyDescent="0.25">
      <c r="C10" s="37" t="s">
        <v>1055</v>
      </c>
    </row>
    <row r="11" spans="1:3" x14ac:dyDescent="0.25">
      <c r="C11" s="37" t="s">
        <v>1056</v>
      </c>
    </row>
    <row r="13" spans="1:3" ht="19.5" x14ac:dyDescent="0.3">
      <c r="A13" s="46" t="s">
        <v>133</v>
      </c>
    </row>
    <row r="14" spans="1:3" ht="45" x14ac:dyDescent="0.25">
      <c r="C14" s="37" t="s">
        <v>1057</v>
      </c>
    </row>
    <row r="15" spans="1:3" x14ac:dyDescent="0.25">
      <c r="C15" s="37" t="s">
        <v>1058</v>
      </c>
    </row>
    <row r="16" spans="1:3" ht="31.5" x14ac:dyDescent="0.25">
      <c r="C16" s="84" t="s">
        <v>1059</v>
      </c>
    </row>
    <row r="17" spans="3:3" ht="31.5" x14ac:dyDescent="0.25">
      <c r="C17" s="84" t="s">
        <v>1060</v>
      </c>
    </row>
    <row r="18" spans="3:3" ht="31.5" x14ac:dyDescent="0.25">
      <c r="C18" s="84" t="s">
        <v>1061</v>
      </c>
    </row>
    <row r="19" spans="3:3" ht="45" x14ac:dyDescent="0.25">
      <c r="C19" s="37" t="s">
        <v>1062</v>
      </c>
    </row>
    <row r="20" spans="3:3" ht="30" x14ac:dyDescent="0.25">
      <c r="C20" s="37" t="s">
        <v>1063</v>
      </c>
    </row>
    <row r="21" spans="3:3" ht="222.75" customHeight="1" x14ac:dyDescent="0.25"/>
  </sheetData>
  <hyperlinks>
    <hyperlink ref="C16" r:id="rId1" xr:uid="{2770F5C1-6EA4-4BF8-B6B3-99162FB17860}"/>
    <hyperlink ref="C17" r:id="rId2" xr:uid="{4054E35D-1927-467F-8BB9-620BCC05AB98}"/>
    <hyperlink ref="C18" r:id="rId3" xr:uid="{FBA5815D-E46D-4BE0-B235-A76E9D1947DE}"/>
  </hyperlinks>
  <pageMargins left="0.7" right="0.7" top="0.75" bottom="0.75" header="0.3" footer="0.3"/>
  <pageSetup orientation="portrait" horizontalDpi="0" verticalDpi="0"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56501-3E41-4EEE-8974-DA2541C423C7}">
  <sheetPr codeName="Sheet4">
    <tabColor theme="7" tint="0.79998168889431442"/>
  </sheetPr>
  <dimension ref="A1:G44"/>
  <sheetViews>
    <sheetView showGridLines="0" zoomScaleNormal="100" workbookViewId="0"/>
  </sheetViews>
  <sheetFormatPr defaultColWidth="8.875" defaultRowHeight="15.75" x14ac:dyDescent="0.25"/>
  <cols>
    <col min="1" max="2" width="2.875" customWidth="1"/>
    <col min="3" max="3" width="21.5" customWidth="1"/>
    <col min="5" max="5" width="71.375" customWidth="1"/>
    <col min="6" max="6" width="27.625" customWidth="1"/>
    <col min="7" max="7" width="16.5" customWidth="1"/>
  </cols>
  <sheetData>
    <row r="1" spans="1:7" ht="31.5" x14ac:dyDescent="0.5">
      <c r="A1" s="2" t="s">
        <v>91</v>
      </c>
      <c r="B1" s="2"/>
    </row>
    <row r="2" spans="1:7" ht="31.5" x14ac:dyDescent="0.5">
      <c r="A2" s="2"/>
      <c r="B2" s="343" t="s">
        <v>138</v>
      </c>
      <c r="C2" s="343"/>
      <c r="D2" s="343"/>
      <c r="E2" s="343"/>
      <c r="F2" s="343"/>
      <c r="G2" s="2"/>
    </row>
    <row r="3" spans="1:7" ht="20.25" thickBot="1" x14ac:dyDescent="0.35">
      <c r="A3" s="46" t="s">
        <v>139</v>
      </c>
      <c r="B3" s="46"/>
    </row>
    <row r="4" spans="1:7" ht="16.5" thickBot="1" x14ac:dyDescent="0.3">
      <c r="C4" t="s">
        <v>140</v>
      </c>
      <c r="D4" s="340" t="s">
        <v>141</v>
      </c>
      <c r="E4" s="340"/>
      <c r="F4" s="37" t="s">
        <v>142</v>
      </c>
    </row>
    <row r="5" spans="1:7" ht="16.5" thickBot="1" x14ac:dyDescent="0.3">
      <c r="C5" t="s">
        <v>56</v>
      </c>
      <c r="D5" s="341">
        <v>900000</v>
      </c>
      <c r="E5" s="341"/>
    </row>
    <row r="7" spans="1:7" ht="19.5" x14ac:dyDescent="0.3">
      <c r="A7" s="46" t="s">
        <v>143</v>
      </c>
      <c r="B7" s="46"/>
    </row>
    <row r="8" spans="1:7" ht="23.25" customHeight="1" x14ac:dyDescent="0.25">
      <c r="B8" s="342" t="s">
        <v>144</v>
      </c>
      <c r="C8" s="342"/>
      <c r="D8" s="342"/>
      <c r="E8" s="342"/>
      <c r="F8" s="342"/>
    </row>
    <row r="9" spans="1:7" ht="25.5" customHeight="1" x14ac:dyDescent="0.25">
      <c r="C9" s="64" t="s">
        <v>145</v>
      </c>
      <c r="D9" s="344" t="str">
        <f>D4&amp;" will save $"&amp;TEXT(D5,"#,##0")&amp;"."</f>
        <v>Customer XYZ will save $900,000.</v>
      </c>
      <c r="E9" s="344"/>
    </row>
    <row r="10" spans="1:7" ht="23.25" customHeight="1" x14ac:dyDescent="0.25">
      <c r="B10" s="342" t="s">
        <v>146</v>
      </c>
      <c r="C10" s="342"/>
      <c r="D10" s="342"/>
      <c r="E10" s="342"/>
      <c r="F10" s="342"/>
    </row>
    <row r="11" spans="1:7" ht="19.5" x14ac:dyDescent="0.3">
      <c r="A11" s="46" t="s">
        <v>147</v>
      </c>
      <c r="B11" s="46"/>
    </row>
    <row r="12" spans="1:7" ht="19.5" x14ac:dyDescent="0.3">
      <c r="A12" s="46"/>
      <c r="B12" s="342" t="s">
        <v>148</v>
      </c>
      <c r="C12" s="342"/>
      <c r="D12" s="342"/>
      <c r="E12" s="342"/>
      <c r="F12" s="342"/>
    </row>
    <row r="13" spans="1:7" ht="19.5" x14ac:dyDescent="0.3">
      <c r="A13" s="46" t="s">
        <v>149</v>
      </c>
      <c r="B13" s="46"/>
    </row>
    <row r="14" spans="1:7" ht="42" customHeight="1" thickBot="1" x14ac:dyDescent="0.3">
      <c r="B14" s="342" t="s">
        <v>150</v>
      </c>
      <c r="C14" s="342"/>
      <c r="D14" s="342"/>
      <c r="E14" s="342"/>
      <c r="F14" s="342"/>
    </row>
    <row r="15" spans="1:7" ht="16.5" thickBot="1" x14ac:dyDescent="0.3">
      <c r="C15" s="32" t="s">
        <v>85</v>
      </c>
      <c r="D15" s="32" t="s">
        <v>151</v>
      </c>
      <c r="E15" s="32" t="s">
        <v>20</v>
      </c>
      <c r="F15" s="32" t="s">
        <v>152</v>
      </c>
    </row>
    <row r="16" spans="1:7" ht="18" thickBot="1" x14ac:dyDescent="0.35">
      <c r="B16" s="19" t="s">
        <v>153</v>
      </c>
      <c r="D16" s="35"/>
      <c r="E16" s="21" t="s">
        <v>154</v>
      </c>
      <c r="F16" s="38" t="s">
        <v>155</v>
      </c>
    </row>
    <row r="17" spans="2:6" ht="16.5" thickBot="1" x14ac:dyDescent="0.3">
      <c r="C17" s="17" t="s">
        <v>156</v>
      </c>
      <c r="D17" s="36" t="s">
        <v>157</v>
      </c>
      <c r="E17" s="21" t="str">
        <f>D4&amp;" will save $"&amp;TEXT(D5,"#,##0")&amp;"."</f>
        <v>Customer XYZ will save $900,000.</v>
      </c>
      <c r="F17" t="str">
        <f>IF(LOWER(D17)="y",E17,"")</f>
        <v>Customer XYZ will save $900,000.</v>
      </c>
    </row>
    <row r="18" spans="2:6" ht="16.5" thickBot="1" x14ac:dyDescent="0.3">
      <c r="C18" s="17" t="s">
        <v>158</v>
      </c>
      <c r="D18" s="36" t="s">
        <v>157</v>
      </c>
      <c r="E18" s="21" t="str">
        <f ca="1">"Payment must be received by "&amp;TEXT(NOW(),"mmmm dd, yyyy")&amp;"."</f>
        <v>Payment must be received by August 28, 2024.</v>
      </c>
      <c r="F18" t="str">
        <f ca="1">IF(LOWER(D18)="y",E18,"")</f>
        <v>Payment must be received by August 28, 2024.</v>
      </c>
    </row>
    <row r="19" spans="2:6" ht="16.5" thickBot="1" x14ac:dyDescent="0.3">
      <c r="C19" s="17"/>
      <c r="D19" s="36" t="s">
        <v>157</v>
      </c>
      <c r="E19" s="21" t="s">
        <v>159</v>
      </c>
      <c r="F19" t="str">
        <f>IF(LOWER(D19)="y",E19,"")</f>
        <v>Customer will be happy.</v>
      </c>
    </row>
    <row r="20" spans="2:6" ht="16.5" thickBot="1" x14ac:dyDescent="0.3">
      <c r="C20" s="17"/>
      <c r="D20" s="36" t="s">
        <v>160</v>
      </c>
      <c r="E20" s="21" t="s">
        <v>161</v>
      </c>
      <c r="F20" t="str">
        <f>IF(LOWER(D20)="y",E20,"")</f>
        <v/>
      </c>
    </row>
    <row r="21" spans="2:6" ht="51" customHeight="1" x14ac:dyDescent="0.25">
      <c r="E21" s="42" t="str">
        <f ca="1">_xlfn.TEXTJOIN(CHAR(10),TRUE,F17:F20)</f>
        <v>Customer XYZ will save $900,000.
Payment must be received by August 28, 2024.
Customer will be happy.</v>
      </c>
      <c r="F21" s="38" t="s">
        <v>162</v>
      </c>
    </row>
    <row r="22" spans="2:6" x14ac:dyDescent="0.25">
      <c r="F22" s="38"/>
    </row>
    <row r="23" spans="2:6" ht="18" thickBot="1" x14ac:dyDescent="0.35">
      <c r="B23" s="19" t="s">
        <v>163</v>
      </c>
      <c r="E23" s="21" t="s">
        <v>164</v>
      </c>
      <c r="F23" s="38" t="s">
        <v>165</v>
      </c>
    </row>
    <row r="24" spans="2:6" ht="16.5" thickBot="1" x14ac:dyDescent="0.3">
      <c r="C24" s="17" t="s">
        <v>166</v>
      </c>
      <c r="D24" s="36" t="s">
        <v>157</v>
      </c>
      <c r="E24" s="21" t="s">
        <v>167</v>
      </c>
    </row>
    <row r="25" spans="2:6" ht="16.5" thickBot="1" x14ac:dyDescent="0.3">
      <c r="C25" s="17"/>
      <c r="D25" s="36" t="s">
        <v>157</v>
      </c>
      <c r="E25" s="21" t="s">
        <v>168</v>
      </c>
    </row>
    <row r="26" spans="2:6" ht="16.5" thickBot="1" x14ac:dyDescent="0.3">
      <c r="C26" s="17"/>
      <c r="D26" s="36" t="s">
        <v>160</v>
      </c>
      <c r="E26" s="21" t="s">
        <v>169</v>
      </c>
    </row>
    <row r="27" spans="2:6" ht="16.5" thickBot="1" x14ac:dyDescent="0.3">
      <c r="C27" s="17"/>
      <c r="D27" s="36" t="s">
        <v>157</v>
      </c>
      <c r="E27" s="21" t="s">
        <v>170</v>
      </c>
    </row>
    <row r="28" spans="2:6" ht="16.5" thickBot="1" x14ac:dyDescent="0.3">
      <c r="C28" s="17"/>
      <c r="D28" s="36" t="s">
        <v>157</v>
      </c>
      <c r="E28" s="21" t="s">
        <v>171</v>
      </c>
    </row>
    <row r="29" spans="2:6" ht="16.5" thickBot="1" x14ac:dyDescent="0.3">
      <c r="C29" s="17"/>
      <c r="D29" s="36" t="s">
        <v>157</v>
      </c>
      <c r="E29" s="21" t="s">
        <v>172</v>
      </c>
    </row>
    <row r="30" spans="2:6" ht="82.5" customHeight="1" x14ac:dyDescent="0.25">
      <c r="E30" s="42" t="str">
        <f t="array" ref="E30">_xlfn.TEXTJOIN(CHAR(10),TRUE,IF(D24:D29="Y",E24:E29,""))</f>
        <v>Basic Features
Management Module
Implementation Services
Maintenance
Support Services</v>
      </c>
      <c r="F30" s="38" t="s">
        <v>173</v>
      </c>
    </row>
    <row r="32" spans="2:6" ht="18" thickBot="1" x14ac:dyDescent="0.35">
      <c r="B32" s="19" t="s">
        <v>163</v>
      </c>
      <c r="E32" s="39" t="s">
        <v>174</v>
      </c>
      <c r="F32" s="38" t="s">
        <v>175</v>
      </c>
    </row>
    <row r="33" spans="1:6" ht="16.5" thickBot="1" x14ac:dyDescent="0.3">
      <c r="C33" s="17"/>
      <c r="D33" s="36" t="s">
        <v>157</v>
      </c>
      <c r="E33" s="39" t="s">
        <v>176</v>
      </c>
      <c r="F33" t="str">
        <f t="shared" ref="F33:F38" si="0">IF(LOWER(D33)="y",CHAR(10)&amp;E33,"")</f>
        <v xml:space="preserve">
Lorem ipsum dolor sit amet, ei cum apeirian voluptaria. Lorem debitis liberavisse ex cum, fugit consulatu consequuntur eam eu. Te sea oratio utinam qualisque, inani numquam eruditi quo ei. Choro fierent cu eos, ex omnis eruditi nec. Graece consetetur consectetuer qui an.</v>
      </c>
    </row>
    <row r="34" spans="1:6" ht="16.5" thickBot="1" x14ac:dyDescent="0.3">
      <c r="C34" s="17"/>
      <c r="D34" s="36" t="s">
        <v>160</v>
      </c>
      <c r="E34" s="39" t="s">
        <v>177</v>
      </c>
      <c r="F34" t="str">
        <f t="shared" si="0"/>
        <v/>
      </c>
    </row>
    <row r="35" spans="1:6" ht="16.5" thickBot="1" x14ac:dyDescent="0.3">
      <c r="C35" s="17"/>
      <c r="D35" s="36" t="s">
        <v>157</v>
      </c>
      <c r="E35" s="39" t="s">
        <v>178</v>
      </c>
      <c r="F35" t="str">
        <f t="shared" si="0"/>
        <v xml:space="preserve">
Ut ludus omittam mea, eu has harum cotidieque, te per libris minimum rationibus. Dolore vituperata honestatis vim ei, erat decore blandit ea usu. Vero invenire eos ne, duo ea oporteat scribentur, essent volutpat eum ei. Ex eos ceteros invenire, timeam omnesque constituam ut mea. Cum integre epicurei comprehensam et, an cum iudico nominati interesset. Cu nam sanctus laoreet, ad ignota tibique tacimates eum.</v>
      </c>
    </row>
    <row r="36" spans="1:6" ht="16.5" thickBot="1" x14ac:dyDescent="0.3">
      <c r="C36" s="17"/>
      <c r="D36" s="36" t="s">
        <v>179</v>
      </c>
      <c r="E36" s="39" t="s">
        <v>180</v>
      </c>
      <c r="F36" t="str">
        <f t="shared" si="0"/>
        <v/>
      </c>
    </row>
    <row r="37" spans="1:6" ht="16.5" thickBot="1" x14ac:dyDescent="0.3">
      <c r="C37" s="17"/>
      <c r="D37" s="36" t="s">
        <v>157</v>
      </c>
      <c r="E37" s="39" t="s">
        <v>181</v>
      </c>
      <c r="F37" t="str">
        <f t="shared" si="0"/>
        <v xml:space="preserve">
Quas nonumes fuisset te pro, mei ad dolores vivendum, vim ei tantas dolorem. Id mentitum qualisque sit. Id mel quot delectus. Tibique perpetua vix te, vim assum senserit cu. At his quis sumo simul, apeirian forensibus eam ut. At sale repudiandae mel, vis cu ullum placerat iracundia. In vis quis labores apeirian, liber tempor qui cu, sea ut graeci instructior consectetuer.</v>
      </c>
    </row>
    <row r="38" spans="1:6" ht="16.5" thickBot="1" x14ac:dyDescent="0.3">
      <c r="C38" s="17"/>
      <c r="D38" s="36" t="s">
        <v>157</v>
      </c>
      <c r="E38" s="39" t="s">
        <v>182</v>
      </c>
      <c r="F38" t="str">
        <f t="shared" si="0"/>
        <v xml:space="preserve">
Ex ius posse vivendo. Ea per quod scripta. Lucilius lobortis ei quo, ei zril maiestatis percipitur vel. Iudico suscipit sit te, patrioque deseruisse mnesarchum pri no, sea cu movet labitur accusam. Est homero apeirian concludaturque et.</v>
      </c>
    </row>
    <row r="39" spans="1:6" ht="63" customHeight="1" x14ac:dyDescent="0.25">
      <c r="E39" s="42" t="str">
        <f>MID(_xlfn.CONCAT(F33:F38),2,LEN(_xlfn.CONCAT(F33:F38)))</f>
        <v>Lorem ipsum dolor sit amet, ei cum apeirian voluptaria. Lorem debitis liberavisse ex cum, fugit consulatu consequuntur eam eu. Te sea oratio utinam qualisque, inani numquam eruditi quo ei. Choro fierent cu eos, ex omnis eruditi nec. Graece consetetur consectetuer qui an.
Ut ludus omittam mea, eu has harum cotidieque, te per libris minimum rationibus. Dolore vituperata honestatis vim ei, erat decore blandit ea usu. Vero invenire eos ne, duo ea oporteat scribentur, essent volutpat eum ei. Ex eos ceteros invenire, timeam omnesque constituam ut mea. Cum integre epicurei comprehensam et, an cum iudico nominati interesset. Cu nam sanctus laoreet, ad ignota tibique tacimates eum.
Quas nonumes fuisset te pro, mei ad dolores vivendum, vim ei tantas dolorem. Id mentitum qualisque sit. Id mel quot delectus. Tibique perpetua vix te, vim assum senserit cu. At his quis sumo simul, apeirian forensibus eam ut. At sale repudiandae mel, vis cu ullum placerat iracundia. In vis quis labores apeirian, liber tempor qui cu, sea ut graeci instructior consectetuer.
Ex ius posse vivendo. Ea per quod scripta. Lucilius lobortis ei quo, ei zril maiestatis percipitur vel. Iudico suscipit sit te, patrioque deseruisse mnesarchum pri no, sea cu movet labitur accusam. Est homero apeirian concludaturque et.</v>
      </c>
      <c r="F39" s="38" t="s">
        <v>183</v>
      </c>
    </row>
    <row r="41" spans="1:6" ht="19.5" x14ac:dyDescent="0.3">
      <c r="A41" s="46" t="s">
        <v>184</v>
      </c>
      <c r="B41" s="46"/>
    </row>
    <row r="42" spans="1:6" x14ac:dyDescent="0.25">
      <c r="B42" s="342" t="s">
        <v>185</v>
      </c>
      <c r="C42" s="342"/>
      <c r="D42" s="342"/>
      <c r="E42" s="342"/>
      <c r="F42" s="342"/>
    </row>
    <row r="43" spans="1:6" x14ac:dyDescent="0.25">
      <c r="C43" s="40" t="s">
        <v>186</v>
      </c>
      <c r="E43" s="41" t="str">
        <f ca="1">"AnalysisPlace Sample Content -- "&amp;TEXT(NOW(),"dddd mmm d, yyyy h:mm AM/PM")</f>
        <v>AnalysisPlace Sample Content -- Wednesday Aug 28, 2024 9:58 AM</v>
      </c>
    </row>
    <row r="44" spans="1:6" x14ac:dyDescent="0.25">
      <c r="E44" s="37" t="s">
        <v>187</v>
      </c>
    </row>
  </sheetData>
  <mergeCells count="9">
    <mergeCell ref="D4:E4"/>
    <mergeCell ref="D5:E5"/>
    <mergeCell ref="B14:F14"/>
    <mergeCell ref="B2:F2"/>
    <mergeCell ref="B42:F42"/>
    <mergeCell ref="B8:F8"/>
    <mergeCell ref="D9:E9"/>
    <mergeCell ref="B10:F10"/>
    <mergeCell ref="B12:F12"/>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C1F34-1832-44AD-A5E1-D032A65334CB}">
  <sheetPr>
    <tabColor theme="4"/>
  </sheetPr>
  <dimension ref="A1:E51"/>
  <sheetViews>
    <sheetView showGridLines="0" workbookViewId="0"/>
  </sheetViews>
  <sheetFormatPr defaultRowHeight="15.75" x14ac:dyDescent="0.25"/>
  <cols>
    <col min="1" max="1" width="3.75" customWidth="1"/>
    <col min="2" max="2" width="28.875" customWidth="1"/>
    <col min="3" max="5" width="36.375" customWidth="1"/>
  </cols>
  <sheetData>
    <row r="1" spans="1:5" ht="31.5" x14ac:dyDescent="0.5">
      <c r="A1" s="2" t="s">
        <v>26</v>
      </c>
    </row>
    <row r="2" spans="1:5" ht="33" customHeight="1" x14ac:dyDescent="0.25">
      <c r="B2" s="339" t="s">
        <v>188</v>
      </c>
      <c r="C2" s="339"/>
      <c r="D2" s="339"/>
      <c r="E2" s="142"/>
    </row>
    <row r="4" spans="1:5" ht="19.5" x14ac:dyDescent="0.3">
      <c r="A4" s="46" t="s">
        <v>189</v>
      </c>
    </row>
    <row r="5" spans="1:5" ht="36" customHeight="1" x14ac:dyDescent="0.25">
      <c r="B5" s="339" t="s">
        <v>190</v>
      </c>
      <c r="C5" s="339"/>
      <c r="D5" s="339"/>
    </row>
    <row r="6" spans="1:5" ht="31.5" customHeight="1" x14ac:dyDescent="0.25">
      <c r="B6" s="339" t="s">
        <v>191</v>
      </c>
      <c r="C6" s="339"/>
      <c r="D6" s="339"/>
    </row>
    <row r="12" spans="1:5" ht="19.5" x14ac:dyDescent="0.3">
      <c r="A12" s="46" t="s">
        <v>192</v>
      </c>
    </row>
    <row r="13" spans="1:5" ht="31.5" customHeight="1" x14ac:dyDescent="0.25">
      <c r="B13" s="339" t="s">
        <v>193</v>
      </c>
      <c r="C13" s="339"/>
      <c r="D13" s="339"/>
    </row>
    <row r="14" spans="1:5" ht="16.5" thickBot="1" x14ac:dyDescent="0.3">
      <c r="B14" s="187"/>
      <c r="C14" s="189" t="s">
        <v>194</v>
      </c>
      <c r="D14" s="189" t="s">
        <v>195</v>
      </c>
    </row>
    <row r="15" spans="1:5" ht="16.5" thickTop="1" x14ac:dyDescent="0.25">
      <c r="B15" s="185" t="s">
        <v>196</v>
      </c>
      <c r="C15" s="188">
        <f ca="1">NOW()</f>
        <v>45532.415293287035</v>
      </c>
      <c r="D15" s="190" t="s">
        <v>197</v>
      </c>
    </row>
    <row r="16" spans="1:5" x14ac:dyDescent="0.25">
      <c r="B16" s="185" t="s">
        <v>198</v>
      </c>
      <c r="C16" s="192">
        <v>2</v>
      </c>
      <c r="D16" s="191" t="s">
        <v>199</v>
      </c>
    </row>
    <row r="17" spans="1:5" x14ac:dyDescent="0.25">
      <c r="B17" s="186" t="s">
        <v>200</v>
      </c>
    </row>
    <row r="18" spans="1:5" ht="39" customHeight="1" x14ac:dyDescent="0.25"/>
    <row r="20" spans="1:5" ht="19.5" x14ac:dyDescent="0.3">
      <c r="A20" s="46" t="s">
        <v>201</v>
      </c>
    </row>
    <row r="21" spans="1:5" ht="30" customHeight="1" thickBot="1" x14ac:dyDescent="0.3">
      <c r="A21" s="346" t="s">
        <v>202</v>
      </c>
      <c r="B21" s="346"/>
      <c r="C21" s="346"/>
      <c r="D21" s="346"/>
      <c r="E21" s="346"/>
    </row>
    <row r="22" spans="1:5" ht="16.5" thickBot="1" x14ac:dyDescent="0.3">
      <c r="B22" s="85"/>
      <c r="C22" s="87" t="s">
        <v>203</v>
      </c>
      <c r="D22" s="87" t="s">
        <v>204</v>
      </c>
      <c r="E22" s="87" t="s">
        <v>205</v>
      </c>
    </row>
    <row r="23" spans="1:5" ht="111" thickBot="1" x14ac:dyDescent="0.3">
      <c r="B23" s="118" t="s">
        <v>156</v>
      </c>
      <c r="C23" s="85" t="s">
        <v>206</v>
      </c>
      <c r="D23" s="85" t="s">
        <v>207</v>
      </c>
      <c r="E23" s="85" t="s">
        <v>208</v>
      </c>
    </row>
    <row r="24" spans="1:5" ht="111" thickBot="1" x14ac:dyDescent="0.3">
      <c r="B24" s="118" t="s">
        <v>209</v>
      </c>
      <c r="C24" s="85" t="s">
        <v>210</v>
      </c>
      <c r="D24" s="85" t="s">
        <v>211</v>
      </c>
      <c r="E24" s="85" t="s">
        <v>212</v>
      </c>
    </row>
    <row r="25" spans="1:5" ht="48" thickBot="1" x14ac:dyDescent="0.3">
      <c r="B25" s="118" t="s">
        <v>213</v>
      </c>
      <c r="C25" s="85" t="s">
        <v>214</v>
      </c>
      <c r="D25" s="85" t="s">
        <v>215</v>
      </c>
      <c r="E25" s="85" t="s">
        <v>216</v>
      </c>
    </row>
    <row r="26" spans="1:5" ht="48" thickBot="1" x14ac:dyDescent="0.3">
      <c r="B26" s="118" t="s">
        <v>217</v>
      </c>
      <c r="C26" s="85" t="s">
        <v>218</v>
      </c>
      <c r="D26" s="85" t="s">
        <v>219</v>
      </c>
      <c r="E26" s="85" t="s">
        <v>220</v>
      </c>
    </row>
    <row r="27" spans="1:5" ht="16.5" thickBot="1" x14ac:dyDescent="0.3">
      <c r="B27" s="118" t="s">
        <v>221</v>
      </c>
      <c r="C27" s="85" t="s">
        <v>222</v>
      </c>
      <c r="D27" s="85" t="s">
        <v>223</v>
      </c>
      <c r="E27" s="85" t="s">
        <v>224</v>
      </c>
    </row>
    <row r="28" spans="1:5" ht="48" thickBot="1" x14ac:dyDescent="0.3">
      <c r="B28" s="118" t="s">
        <v>225</v>
      </c>
      <c r="C28" s="85" t="s">
        <v>226</v>
      </c>
      <c r="D28" s="85" t="s">
        <v>227</v>
      </c>
      <c r="E28" s="85" t="s">
        <v>228</v>
      </c>
    </row>
    <row r="29" spans="1:5" ht="205.5" thickBot="1" x14ac:dyDescent="0.3">
      <c r="B29" s="118" t="s">
        <v>229</v>
      </c>
      <c r="C29" s="85" t="s">
        <v>230</v>
      </c>
      <c r="D29" s="85" t="s">
        <v>231</v>
      </c>
      <c r="E29" s="85" t="s">
        <v>232</v>
      </c>
    </row>
    <row r="30" spans="1:5" ht="16.5" thickBot="1" x14ac:dyDescent="0.3">
      <c r="B30" s="118" t="s">
        <v>233</v>
      </c>
      <c r="C30" s="85" t="s">
        <v>234</v>
      </c>
      <c r="D30" s="85" t="s">
        <v>235</v>
      </c>
      <c r="E30" s="85" t="s">
        <v>235</v>
      </c>
    </row>
    <row r="31" spans="1:5" ht="16.5" thickBot="1" x14ac:dyDescent="0.3">
      <c r="B31" s="118" t="s">
        <v>236</v>
      </c>
      <c r="C31" s="85" t="s">
        <v>235</v>
      </c>
      <c r="D31" s="85" t="s">
        <v>235</v>
      </c>
      <c r="E31" s="85" t="s">
        <v>235</v>
      </c>
    </row>
    <row r="32" spans="1:5" ht="16.5" thickBot="1" x14ac:dyDescent="0.3">
      <c r="B32" s="118" t="s">
        <v>237</v>
      </c>
      <c r="C32" s="85" t="s">
        <v>235</v>
      </c>
      <c r="D32" s="85" t="s">
        <v>238</v>
      </c>
      <c r="E32" s="85" t="s">
        <v>235</v>
      </c>
    </row>
    <row r="33" spans="2:5" ht="16.5" thickBot="1" x14ac:dyDescent="0.3">
      <c r="B33" s="118" t="s">
        <v>111</v>
      </c>
      <c r="C33" s="85" t="s">
        <v>235</v>
      </c>
      <c r="D33" s="85" t="s">
        <v>239</v>
      </c>
      <c r="E33" s="85" t="s">
        <v>235</v>
      </c>
    </row>
    <row r="34" spans="2:5" ht="16.5" thickBot="1" x14ac:dyDescent="0.3">
      <c r="B34" s="118" t="s">
        <v>240</v>
      </c>
      <c r="C34" s="85" t="s">
        <v>160</v>
      </c>
      <c r="D34" s="85" t="s">
        <v>160</v>
      </c>
      <c r="E34" s="85" t="s">
        <v>235</v>
      </c>
    </row>
    <row r="35" spans="2:5" ht="16.5" thickBot="1" x14ac:dyDescent="0.3">
      <c r="B35" s="118" t="s">
        <v>241</v>
      </c>
      <c r="C35" s="85" t="s">
        <v>160</v>
      </c>
      <c r="D35" s="85" t="s">
        <v>242</v>
      </c>
      <c r="E35" s="85" t="s">
        <v>160</v>
      </c>
    </row>
    <row r="36" spans="2:5" ht="48" thickBot="1" x14ac:dyDescent="0.3">
      <c r="B36" s="118" t="s">
        <v>243</v>
      </c>
      <c r="C36" s="85" t="s">
        <v>235</v>
      </c>
      <c r="D36" s="85" t="s">
        <v>244</v>
      </c>
      <c r="E36" s="85" t="s">
        <v>235</v>
      </c>
    </row>
    <row r="37" spans="2:5" ht="48" thickBot="1" x14ac:dyDescent="0.3">
      <c r="B37" s="118" t="s">
        <v>245</v>
      </c>
      <c r="C37" s="85" t="s">
        <v>246</v>
      </c>
      <c r="D37" s="85" t="s">
        <v>247</v>
      </c>
      <c r="E37" s="85" t="s">
        <v>248</v>
      </c>
    </row>
    <row r="38" spans="2:5" ht="48" thickBot="1" x14ac:dyDescent="0.3">
      <c r="B38" s="118" t="s">
        <v>249</v>
      </c>
      <c r="C38" s="85" t="s">
        <v>250</v>
      </c>
      <c r="D38" s="85" t="s">
        <v>235</v>
      </c>
      <c r="E38" s="85" t="s">
        <v>251</v>
      </c>
    </row>
    <row r="39" spans="2:5" ht="63.75" thickBot="1" x14ac:dyDescent="0.3">
      <c r="B39" s="118" t="s">
        <v>252</v>
      </c>
      <c r="C39" s="85" t="s">
        <v>253</v>
      </c>
      <c r="D39" s="85" t="s">
        <v>254</v>
      </c>
      <c r="E39" s="85" t="s">
        <v>255</v>
      </c>
    </row>
    <row r="41" spans="2:5" x14ac:dyDescent="0.25">
      <c r="B41" s="345" t="s">
        <v>256</v>
      </c>
      <c r="C41" s="345"/>
      <c r="D41" s="345"/>
      <c r="E41" s="345"/>
    </row>
    <row r="42" spans="2:5" ht="30.75" customHeight="1" x14ac:dyDescent="0.25">
      <c r="B42" s="345" t="s">
        <v>257</v>
      </c>
      <c r="C42" s="345"/>
      <c r="D42" s="345"/>
      <c r="E42" s="345"/>
    </row>
    <row r="43" spans="2:5" ht="30.75" customHeight="1" x14ac:dyDescent="0.25">
      <c r="B43" s="345" t="s">
        <v>258</v>
      </c>
      <c r="C43" s="345"/>
      <c r="D43" s="345"/>
      <c r="E43" s="345"/>
    </row>
    <row r="44" spans="2:5" x14ac:dyDescent="0.25">
      <c r="B44" s="345" t="s">
        <v>259</v>
      </c>
      <c r="C44" s="345"/>
      <c r="D44" s="345"/>
      <c r="E44" s="345"/>
    </row>
    <row r="45" spans="2:5" x14ac:dyDescent="0.25">
      <c r="B45" s="345" t="s">
        <v>260</v>
      </c>
      <c r="C45" s="345"/>
      <c r="D45" s="345"/>
      <c r="E45" s="345"/>
    </row>
    <row r="46" spans="2:5" x14ac:dyDescent="0.25">
      <c r="B46" s="345" t="s">
        <v>261</v>
      </c>
      <c r="C46" s="345"/>
      <c r="D46" s="345"/>
      <c r="E46" s="345"/>
    </row>
    <row r="49" spans="1:2" ht="19.5" x14ac:dyDescent="0.3">
      <c r="A49" s="46" t="s">
        <v>262</v>
      </c>
    </row>
    <row r="51" spans="1:2" x14ac:dyDescent="0.25">
      <c r="B51" t="s">
        <v>148</v>
      </c>
    </row>
  </sheetData>
  <mergeCells count="11">
    <mergeCell ref="B46:E46"/>
    <mergeCell ref="A21:E21"/>
    <mergeCell ref="B41:E41"/>
    <mergeCell ref="B42:E42"/>
    <mergeCell ref="B43:E43"/>
    <mergeCell ref="B44:E44"/>
    <mergeCell ref="B5:D5"/>
    <mergeCell ref="B2:D2"/>
    <mergeCell ref="B6:D6"/>
    <mergeCell ref="B13:D13"/>
    <mergeCell ref="B45:E45"/>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2235-65FC-4B8C-BF25-332DAB78CE5F}">
  <sheetPr codeName="Sheet3">
    <tabColor theme="4"/>
  </sheetPr>
  <dimension ref="A1:K72"/>
  <sheetViews>
    <sheetView showGridLines="0" workbookViewId="0"/>
  </sheetViews>
  <sheetFormatPr defaultColWidth="8.875" defaultRowHeight="15.75" x14ac:dyDescent="0.25"/>
  <cols>
    <col min="1" max="2" width="3.375" customWidth="1"/>
    <col min="3" max="3" width="28.875" customWidth="1"/>
    <col min="4" max="6" width="13.125" customWidth="1"/>
    <col min="7" max="7" width="11.5" bestFit="1" customWidth="1"/>
    <col min="11" max="11" width="12.5" bestFit="1" customWidth="1"/>
    <col min="12" max="14" width="11.5" bestFit="1" customWidth="1"/>
  </cols>
  <sheetData>
    <row r="1" spans="1:11" ht="31.5" x14ac:dyDescent="0.5">
      <c r="A1" s="2" t="s">
        <v>27</v>
      </c>
      <c r="B1" s="2"/>
    </row>
    <row r="2" spans="1:11" ht="48.75" customHeight="1" x14ac:dyDescent="0.25">
      <c r="A2" s="352" t="s">
        <v>263</v>
      </c>
      <c r="B2" s="352"/>
      <c r="C2" s="352"/>
      <c r="D2" s="352"/>
      <c r="E2" s="352"/>
      <c r="F2" s="352"/>
      <c r="G2" s="352"/>
      <c r="H2" s="352"/>
      <c r="I2" s="352"/>
      <c r="J2" s="352"/>
      <c r="K2" s="352"/>
    </row>
    <row r="3" spans="1:11" ht="37.5" customHeight="1" x14ac:dyDescent="0.25">
      <c r="A3" s="352" t="s">
        <v>264</v>
      </c>
      <c r="B3" s="352"/>
      <c r="C3" s="352"/>
      <c r="D3" s="352"/>
      <c r="E3" s="352"/>
      <c r="F3" s="352"/>
      <c r="G3" s="352"/>
      <c r="H3" s="352"/>
      <c r="I3" s="352"/>
      <c r="J3" s="352"/>
      <c r="K3" s="352"/>
    </row>
    <row r="4" spans="1:11" ht="23.25" x14ac:dyDescent="0.35">
      <c r="A4" s="81" t="s">
        <v>265</v>
      </c>
      <c r="B4" s="46"/>
    </row>
    <row r="5" spans="1:11" ht="41.25" customHeight="1" x14ac:dyDescent="0.3">
      <c r="A5" s="46"/>
      <c r="B5" s="342" t="s">
        <v>266</v>
      </c>
      <c r="C5" s="342"/>
      <c r="D5" s="342"/>
      <c r="E5" s="342"/>
      <c r="F5" s="342"/>
      <c r="G5" s="342"/>
      <c r="H5" s="342"/>
      <c r="I5" s="342"/>
      <c r="J5" s="342"/>
      <c r="K5" s="46"/>
    </row>
    <row r="6" spans="1:11" ht="119.25" customHeight="1" x14ac:dyDescent="0.25"/>
    <row r="7" spans="1:11" ht="27" customHeight="1" x14ac:dyDescent="0.25">
      <c r="B7" s="342" t="s">
        <v>267</v>
      </c>
      <c r="C7" s="342"/>
      <c r="D7" s="342"/>
      <c r="E7" s="342"/>
      <c r="F7" s="342"/>
      <c r="G7" s="342"/>
      <c r="H7" s="342"/>
      <c r="I7" s="342"/>
      <c r="J7" s="342"/>
    </row>
    <row r="8" spans="1:11" ht="17.25" x14ac:dyDescent="0.3">
      <c r="B8" s="19" t="s">
        <v>233</v>
      </c>
    </row>
    <row r="9" spans="1:11" ht="32.25" customHeight="1" x14ac:dyDescent="0.3">
      <c r="B9" s="19"/>
      <c r="C9" s="342" t="s">
        <v>268</v>
      </c>
      <c r="D9" s="342"/>
      <c r="E9" s="342"/>
      <c r="F9" s="342"/>
      <c r="G9" s="342"/>
      <c r="H9" s="342"/>
      <c r="I9" s="342"/>
      <c r="J9" s="342"/>
      <c r="K9" s="342"/>
    </row>
    <row r="10" spans="1:11" ht="37.5" customHeight="1" x14ac:dyDescent="0.3">
      <c r="B10" s="19"/>
      <c r="C10" s="342" t="s">
        <v>269</v>
      </c>
      <c r="D10" s="342"/>
      <c r="E10" s="342"/>
      <c r="F10" s="342"/>
      <c r="G10" s="342"/>
      <c r="H10" s="342"/>
      <c r="I10" s="342"/>
      <c r="J10" s="342"/>
      <c r="K10" s="342"/>
    </row>
    <row r="11" spans="1:11" ht="75" customHeight="1" thickBot="1" x14ac:dyDescent="0.3"/>
    <row r="12" spans="1:11" ht="16.5" customHeight="1" thickBot="1" x14ac:dyDescent="0.3">
      <c r="C12" s="69" t="s">
        <v>270</v>
      </c>
      <c r="D12" s="69" t="s">
        <v>270</v>
      </c>
      <c r="E12" s="353" t="s">
        <v>271</v>
      </c>
      <c r="F12" s="354"/>
      <c r="G12" s="355"/>
      <c r="H12" s="353" t="s">
        <v>272</v>
      </c>
      <c r="I12" s="354"/>
      <c r="J12" s="355"/>
    </row>
    <row r="13" spans="1:11" ht="16.5" thickBot="1" x14ac:dyDescent="0.3">
      <c r="C13" s="70" t="s">
        <v>85</v>
      </c>
      <c r="D13" s="70" t="s">
        <v>273</v>
      </c>
      <c r="E13" s="70" t="s">
        <v>274</v>
      </c>
      <c r="F13" s="70" t="s">
        <v>275</v>
      </c>
      <c r="G13" s="70" t="s">
        <v>30</v>
      </c>
      <c r="H13" s="70" t="s">
        <v>274</v>
      </c>
      <c r="I13" s="70" t="s">
        <v>275</v>
      </c>
      <c r="J13" s="70" t="s">
        <v>30</v>
      </c>
      <c r="K13" s="75" t="s">
        <v>276</v>
      </c>
    </row>
    <row r="14" spans="1:11" ht="16.5" thickBot="1" x14ac:dyDescent="0.3">
      <c r="C14" s="76" t="s">
        <v>277</v>
      </c>
      <c r="D14" s="71" t="s">
        <v>278</v>
      </c>
      <c r="E14" s="76">
        <v>95</v>
      </c>
      <c r="F14" s="72">
        <v>200</v>
      </c>
      <c r="G14" s="72">
        <f>F14*E14</f>
        <v>19000</v>
      </c>
      <c r="H14" s="71">
        <f>E14</f>
        <v>95</v>
      </c>
      <c r="I14" s="72">
        <f>F14*0.25</f>
        <v>50</v>
      </c>
      <c r="J14" s="72">
        <f>I14*H14</f>
        <v>4750</v>
      </c>
      <c r="K14" s="72">
        <f>G14+3*J14</f>
        <v>33250</v>
      </c>
    </row>
    <row r="15" spans="1:11" ht="16.5" thickBot="1" x14ac:dyDescent="0.3">
      <c r="C15" s="76" t="s">
        <v>279</v>
      </c>
      <c r="D15" s="71" t="s">
        <v>280</v>
      </c>
      <c r="E15" s="71">
        <f>ROUNDUP(E14/25,0)</f>
        <v>4</v>
      </c>
      <c r="F15" s="72">
        <v>4000</v>
      </c>
      <c r="G15" s="72">
        <f>F15*E15</f>
        <v>16000</v>
      </c>
      <c r="H15" s="71">
        <f>E15</f>
        <v>4</v>
      </c>
      <c r="I15" s="72">
        <f>F15*0.25</f>
        <v>1000</v>
      </c>
      <c r="J15" s="72">
        <f>I15*H15</f>
        <v>4000</v>
      </c>
      <c r="K15" s="72">
        <f>G15+3*J15</f>
        <v>28000</v>
      </c>
    </row>
    <row r="16" spans="1:11" x14ac:dyDescent="0.25">
      <c r="C16" s="67" t="str">
        <f>_xlfn.UNICHAR(8205)&amp;"Implementation"</f>
        <v>‍Implementation</v>
      </c>
      <c r="D16" s="71" t="s">
        <v>281</v>
      </c>
      <c r="E16" s="71">
        <f>E15*1.5</f>
        <v>6</v>
      </c>
      <c r="F16" s="72">
        <v>1600</v>
      </c>
      <c r="G16" s="72">
        <f>F16*E16</f>
        <v>9600</v>
      </c>
      <c r="H16" s="71">
        <v>0</v>
      </c>
      <c r="I16" s="72">
        <f>F16</f>
        <v>1600</v>
      </c>
      <c r="J16" s="72">
        <f>I16*H16</f>
        <v>0</v>
      </c>
      <c r="K16" s="72">
        <f>G16+3*J16</f>
        <v>9600</v>
      </c>
    </row>
    <row r="17" spans="1:11" x14ac:dyDescent="0.25">
      <c r="C17" s="67" t="str">
        <f>_xlfn.UNICHAR(8205)&amp;"Training"</f>
        <v>‍Training</v>
      </c>
      <c r="D17" s="71" t="s">
        <v>282</v>
      </c>
      <c r="E17" s="71">
        <f>ROUNDUP(E14*0.1,0)</f>
        <v>10</v>
      </c>
      <c r="F17" s="72">
        <v>2000</v>
      </c>
      <c r="G17" s="72">
        <f>F17*E17</f>
        <v>20000</v>
      </c>
      <c r="H17" s="71">
        <f>ROUNDUP(E17/4,0)</f>
        <v>3</v>
      </c>
      <c r="I17" s="72">
        <f>F17</f>
        <v>2000</v>
      </c>
      <c r="J17" s="72">
        <f>I17*H17</f>
        <v>6000</v>
      </c>
      <c r="K17" s="72">
        <f>G17+3*J17</f>
        <v>38000</v>
      </c>
    </row>
    <row r="18" spans="1:11" ht="16.5" thickBot="1" x14ac:dyDescent="0.3">
      <c r="C18" s="67" t="str">
        <f>_xlfn.UNICHAR(8205)&amp;"Support"</f>
        <v>‍Support</v>
      </c>
      <c r="D18" s="71" t="s">
        <v>283</v>
      </c>
      <c r="E18" s="71">
        <v>0</v>
      </c>
      <c r="F18" s="72"/>
      <c r="G18" s="72">
        <f>F18*E18</f>
        <v>0</v>
      </c>
      <c r="H18" s="71">
        <f>ROUNDUP(E14*0.1,0)</f>
        <v>10</v>
      </c>
      <c r="I18" s="72">
        <v>1000</v>
      </c>
      <c r="J18" s="72">
        <f>I18*H18</f>
        <v>10000</v>
      </c>
      <c r="K18" s="72">
        <f>G18+3*J18</f>
        <v>30000</v>
      </c>
    </row>
    <row r="19" spans="1:11" ht="16.5" thickTop="1" x14ac:dyDescent="0.25">
      <c r="C19" s="73" t="s">
        <v>284</v>
      </c>
      <c r="D19" s="69"/>
      <c r="E19" s="69"/>
      <c r="F19" s="69"/>
      <c r="G19" s="74">
        <f>SUM(G14:G18)</f>
        <v>64600</v>
      </c>
      <c r="H19" s="69"/>
      <c r="I19" s="69"/>
      <c r="J19" s="74">
        <f>SUM(J14:J18)</f>
        <v>24750</v>
      </c>
      <c r="K19" s="74">
        <f>SUM(K14:K18)</f>
        <v>138850</v>
      </c>
    </row>
    <row r="20" spans="1:11" ht="34.5" customHeight="1" x14ac:dyDescent="0.25">
      <c r="C20" s="82" t="s">
        <v>285</v>
      </c>
    </row>
    <row r="21" spans="1:11" ht="33.75" customHeight="1" x14ac:dyDescent="0.25"/>
    <row r="22" spans="1:11" x14ac:dyDescent="0.25">
      <c r="B22" s="218" t="s">
        <v>286</v>
      </c>
    </row>
    <row r="23" spans="1:11" ht="116.25" customHeight="1" x14ac:dyDescent="0.3">
      <c r="B23" s="19"/>
      <c r="C23" s="348" t="s">
        <v>287</v>
      </c>
      <c r="D23" s="348"/>
      <c r="E23" s="348"/>
      <c r="F23" s="348"/>
      <c r="G23" s="348"/>
      <c r="H23" s="348"/>
      <c r="I23" s="348"/>
      <c r="J23" s="348"/>
      <c r="K23" s="348"/>
    </row>
    <row r="24" spans="1:11" ht="23.25" x14ac:dyDescent="0.35">
      <c r="A24" s="81" t="s">
        <v>288</v>
      </c>
      <c r="B24" s="46"/>
    </row>
    <row r="25" spans="1:11" ht="34.5" customHeight="1" x14ac:dyDescent="0.25">
      <c r="B25" s="342" t="s">
        <v>289</v>
      </c>
      <c r="C25" s="342"/>
      <c r="D25" s="342"/>
      <c r="E25" s="342"/>
      <c r="F25" s="342"/>
      <c r="G25" s="342"/>
      <c r="H25" s="342"/>
      <c r="I25" s="342"/>
      <c r="J25" s="342"/>
    </row>
    <row r="26" spans="1:11" ht="30.75" customHeight="1" x14ac:dyDescent="0.25">
      <c r="B26" s="347" t="s">
        <v>290</v>
      </c>
      <c r="C26" s="347"/>
      <c r="D26" s="347"/>
      <c r="E26" s="347"/>
      <c r="F26" s="347"/>
      <c r="G26" s="347"/>
      <c r="H26" s="347"/>
      <c r="I26" s="347"/>
      <c r="J26" s="347"/>
    </row>
    <row r="27" spans="1:11" ht="17.25" x14ac:dyDescent="0.3">
      <c r="B27" s="19" t="s">
        <v>291</v>
      </c>
      <c r="C27" s="37"/>
    </row>
    <row r="28" spans="1:11" ht="74.25" customHeight="1" x14ac:dyDescent="0.25">
      <c r="C28" s="342" t="s">
        <v>292</v>
      </c>
      <c r="D28" s="342"/>
      <c r="E28" s="342"/>
      <c r="F28" s="342"/>
      <c r="G28" s="342"/>
      <c r="H28" s="342"/>
      <c r="I28" s="342"/>
      <c r="J28" s="342"/>
      <c r="K28" s="342"/>
    </row>
    <row r="29" spans="1:11" x14ac:dyDescent="0.25">
      <c r="C29" t="s">
        <v>53</v>
      </c>
      <c r="D29" t="s">
        <v>54</v>
      </c>
      <c r="E29" t="s">
        <v>55</v>
      </c>
      <c r="F29" t="s">
        <v>56</v>
      </c>
    </row>
    <row r="30" spans="1:11" x14ac:dyDescent="0.25">
      <c r="C30" t="s">
        <v>57</v>
      </c>
      <c r="D30" s="77">
        <f ca="1">TODAY()</f>
        <v>45532</v>
      </c>
      <c r="E30" t="s">
        <v>58</v>
      </c>
      <c r="F30" s="78">
        <v>120</v>
      </c>
    </row>
    <row r="31" spans="1:11" hidden="1" x14ac:dyDescent="0.25">
      <c r="C31" t="s">
        <v>59</v>
      </c>
      <c r="D31" s="77">
        <f t="shared" ref="D31:D36" ca="1" si="0">D30-1</f>
        <v>45531</v>
      </c>
      <c r="E31" t="s">
        <v>60</v>
      </c>
      <c r="F31" s="78">
        <v>142</v>
      </c>
    </row>
    <row r="32" spans="1:11" x14ac:dyDescent="0.25">
      <c r="C32" t="s">
        <v>61</v>
      </c>
      <c r="D32" s="77">
        <f t="shared" ca="1" si="0"/>
        <v>45530</v>
      </c>
      <c r="E32" t="s">
        <v>62</v>
      </c>
      <c r="F32" s="78">
        <v>27</v>
      </c>
    </row>
    <row r="33" spans="1:11" x14ac:dyDescent="0.25">
      <c r="C33" t="s">
        <v>63</v>
      </c>
      <c r="D33" s="77">
        <f t="shared" ca="1" si="0"/>
        <v>45529</v>
      </c>
      <c r="E33" t="s">
        <v>64</v>
      </c>
      <c r="F33" s="78">
        <v>33</v>
      </c>
      <c r="H33" s="356" t="s">
        <v>293</v>
      </c>
      <c r="I33" s="356"/>
    </row>
    <row r="34" spans="1:11" x14ac:dyDescent="0.25">
      <c r="C34" t="s">
        <v>65</v>
      </c>
      <c r="D34" s="77">
        <f t="shared" ca="1" si="0"/>
        <v>45528</v>
      </c>
      <c r="E34" t="s">
        <v>66</v>
      </c>
      <c r="F34" s="78">
        <v>350</v>
      </c>
    </row>
    <row r="35" spans="1:11" hidden="1" x14ac:dyDescent="0.25">
      <c r="C35" t="s">
        <v>67</v>
      </c>
      <c r="D35" s="77">
        <f t="shared" ca="1" si="0"/>
        <v>45527</v>
      </c>
      <c r="E35" t="s">
        <v>68</v>
      </c>
      <c r="F35" s="78">
        <v>135</v>
      </c>
    </row>
    <row r="36" spans="1:11" x14ac:dyDescent="0.25">
      <c r="C36" t="s">
        <v>61</v>
      </c>
      <c r="D36" s="77">
        <f t="shared" ca="1" si="0"/>
        <v>45526</v>
      </c>
      <c r="E36" t="s">
        <v>62</v>
      </c>
      <c r="F36" s="78">
        <v>97</v>
      </c>
    </row>
    <row r="37" spans="1:11" ht="6" customHeight="1" x14ac:dyDescent="0.25"/>
    <row r="38" spans="1:11" ht="23.25" customHeight="1" x14ac:dyDescent="0.25">
      <c r="C38" s="82" t="s">
        <v>294</v>
      </c>
    </row>
    <row r="39" spans="1:11" ht="17.25" x14ac:dyDescent="0.3">
      <c r="B39" s="19" t="s">
        <v>295</v>
      </c>
      <c r="C39" s="37"/>
    </row>
    <row r="40" spans="1:11" ht="23.25" customHeight="1" x14ac:dyDescent="0.25">
      <c r="C40" s="342" t="s">
        <v>296</v>
      </c>
      <c r="D40" s="342"/>
      <c r="E40" s="342"/>
      <c r="F40" s="342"/>
      <c r="G40" s="342"/>
      <c r="H40" s="342"/>
      <c r="I40" s="342"/>
      <c r="J40" s="342"/>
      <c r="K40" s="342"/>
    </row>
    <row r="41" spans="1:11" ht="23.25" x14ac:dyDescent="0.35">
      <c r="A41" s="81" t="s">
        <v>297</v>
      </c>
      <c r="C41" s="37"/>
      <c r="D41" s="37"/>
      <c r="E41" s="37"/>
      <c r="F41" s="37"/>
      <c r="G41" s="37"/>
      <c r="H41" s="37"/>
      <c r="I41" s="37"/>
      <c r="J41" s="37"/>
      <c r="K41" s="37"/>
    </row>
    <row r="42" spans="1:11" ht="23.25" customHeight="1" x14ac:dyDescent="0.25">
      <c r="B42" t="s">
        <v>298</v>
      </c>
      <c r="C42" s="37"/>
      <c r="D42" s="37"/>
      <c r="E42" s="37"/>
      <c r="F42" s="37"/>
      <c r="G42" s="37"/>
      <c r="H42" s="37"/>
      <c r="I42" s="37"/>
      <c r="J42" s="37"/>
      <c r="K42" s="37"/>
    </row>
    <row r="43" spans="1:11" ht="49.5" customHeight="1" x14ac:dyDescent="0.25">
      <c r="B43" s="51">
        <v>1</v>
      </c>
      <c r="C43" s="21" t="s">
        <v>299</v>
      </c>
      <c r="D43" s="349" t="s">
        <v>300</v>
      </c>
      <c r="E43" s="350"/>
      <c r="F43" s="351"/>
      <c r="G43" s="37"/>
      <c r="H43" s="37"/>
      <c r="I43" s="37"/>
      <c r="J43" s="37"/>
      <c r="K43" s="37"/>
    </row>
    <row r="44" spans="1:11" ht="45.75" customHeight="1" x14ac:dyDescent="0.25">
      <c r="B44" s="51">
        <v>2</v>
      </c>
      <c r="C44" s="21" t="s">
        <v>301</v>
      </c>
      <c r="D44" s="349" t="s">
        <v>302</v>
      </c>
      <c r="E44" s="350"/>
      <c r="F44" s="351"/>
      <c r="G44" s="37"/>
      <c r="H44" s="37"/>
      <c r="I44" s="37"/>
      <c r="J44" s="37"/>
      <c r="K44" s="37"/>
    </row>
    <row r="45" spans="1:11" ht="48" customHeight="1" x14ac:dyDescent="0.25">
      <c r="B45" s="51">
        <v>3</v>
      </c>
      <c r="C45" s="21" t="s">
        <v>303</v>
      </c>
      <c r="D45" s="349" t="s">
        <v>304</v>
      </c>
      <c r="E45" s="350"/>
      <c r="F45" s="351"/>
      <c r="G45" s="37"/>
      <c r="H45" s="37"/>
      <c r="I45" s="37"/>
      <c r="J45" s="37"/>
      <c r="K45" s="37"/>
    </row>
    <row r="46" spans="1:11" ht="33" customHeight="1" x14ac:dyDescent="0.25">
      <c r="B46" s="339" t="s">
        <v>305</v>
      </c>
      <c r="C46" s="339"/>
      <c r="D46" s="339"/>
      <c r="E46" s="339"/>
      <c r="F46" s="339"/>
      <c r="G46" s="37"/>
      <c r="H46" s="37"/>
      <c r="I46" s="37"/>
      <c r="J46" s="37"/>
      <c r="K46" s="37"/>
    </row>
    <row r="47" spans="1:11" x14ac:dyDescent="0.25">
      <c r="C47" s="37"/>
      <c r="D47" s="37"/>
      <c r="E47" s="37"/>
      <c r="F47" s="37"/>
      <c r="G47" s="37"/>
      <c r="H47" s="37"/>
      <c r="I47" s="37"/>
      <c r="J47" s="37"/>
      <c r="K47" s="37"/>
    </row>
    <row r="48" spans="1:11" ht="23.25" x14ac:dyDescent="0.35">
      <c r="A48" s="81" t="s">
        <v>306</v>
      </c>
      <c r="C48" s="37"/>
      <c r="D48" s="37"/>
      <c r="E48" s="37"/>
      <c r="F48" s="37"/>
      <c r="G48" s="37"/>
      <c r="H48" s="37"/>
      <c r="I48" s="37"/>
      <c r="J48" s="37"/>
      <c r="K48" s="37"/>
    </row>
    <row r="49" spans="1:11" ht="33" customHeight="1" x14ac:dyDescent="0.3">
      <c r="B49" s="19"/>
      <c r="C49" s="342" t="s">
        <v>307</v>
      </c>
      <c r="D49" s="342"/>
      <c r="E49" s="342"/>
      <c r="F49" s="342"/>
      <c r="G49" s="342"/>
      <c r="H49" s="342"/>
      <c r="I49" s="342"/>
      <c r="J49" s="342"/>
      <c r="K49" s="342"/>
    </row>
    <row r="50" spans="1:11" ht="48.75" customHeight="1" x14ac:dyDescent="0.3">
      <c r="B50" s="19" t="s">
        <v>270</v>
      </c>
      <c r="C50" s="342" t="s">
        <v>308</v>
      </c>
      <c r="D50" s="342"/>
      <c r="E50" s="342"/>
      <c r="F50" s="342"/>
      <c r="G50" s="342"/>
      <c r="H50" s="342"/>
      <c r="I50" s="342"/>
      <c r="J50" s="342"/>
      <c r="K50" s="342"/>
    </row>
    <row r="51" spans="1:11" ht="38.25" customHeight="1" x14ac:dyDescent="0.3">
      <c r="B51" s="19"/>
      <c r="C51" s="342" t="s">
        <v>309</v>
      </c>
      <c r="D51" s="342"/>
      <c r="E51" s="342"/>
      <c r="F51" s="342"/>
      <c r="G51" s="342"/>
      <c r="H51" s="342"/>
      <c r="I51" s="342"/>
      <c r="J51" s="342"/>
      <c r="K51" s="342"/>
    </row>
    <row r="53" spans="1:11" ht="23.25" x14ac:dyDescent="0.35">
      <c r="A53" s="81" t="s">
        <v>310</v>
      </c>
      <c r="B53" s="46"/>
    </row>
    <row r="54" spans="1:11" ht="21.75" customHeight="1" thickBot="1" x14ac:dyDescent="0.3">
      <c r="B54" s="342" t="s">
        <v>311</v>
      </c>
      <c r="C54" s="342"/>
      <c r="D54" s="342"/>
      <c r="E54" s="342"/>
      <c r="F54" s="342"/>
      <c r="G54" s="342"/>
      <c r="H54" s="342"/>
      <c r="I54" s="342"/>
      <c r="J54" s="342"/>
    </row>
    <row r="55" spans="1:11" ht="16.5" thickBot="1" x14ac:dyDescent="0.3">
      <c r="D55" s="79">
        <f ca="1">TODAY()</f>
        <v>45532</v>
      </c>
      <c r="E55" s="34" t="s">
        <v>312</v>
      </c>
    </row>
    <row r="56" spans="1:11" ht="16.5" thickBot="1" x14ac:dyDescent="0.3">
      <c r="C56" s="21" t="s">
        <v>313</v>
      </c>
      <c r="D56" s="80">
        <v>800000000</v>
      </c>
      <c r="E56" s="55">
        <f>D56/D$56</f>
        <v>1</v>
      </c>
    </row>
    <row r="57" spans="1:11" x14ac:dyDescent="0.25">
      <c r="C57" s="21" t="s">
        <v>314</v>
      </c>
      <c r="D57" s="68">
        <f>$D$56*0.55</f>
        <v>440000000.00000006</v>
      </c>
      <c r="E57" s="55">
        <f>D57/D$56</f>
        <v>0.55000000000000004</v>
      </c>
    </row>
    <row r="58" spans="1:11" x14ac:dyDescent="0.25">
      <c r="C58" s="61" t="s">
        <v>315</v>
      </c>
      <c r="D58" s="68">
        <f>D56-D57</f>
        <v>359999999.99999994</v>
      </c>
      <c r="E58" s="55">
        <f>D58/D$56</f>
        <v>0.4499999999999999</v>
      </c>
    </row>
    <row r="59" spans="1:11" x14ac:dyDescent="0.25">
      <c r="C59" s="21" t="s">
        <v>45</v>
      </c>
      <c r="D59" s="21"/>
      <c r="E59" s="55"/>
    </row>
    <row r="60" spans="1:11" x14ac:dyDescent="0.25">
      <c r="C60" s="21" t="s">
        <v>316</v>
      </c>
      <c r="D60" s="68">
        <f>$D$56*0.13</f>
        <v>104000000</v>
      </c>
      <c r="E60" s="55">
        <f t="shared" ref="E60:E70" si="1">D60/D$56</f>
        <v>0.13</v>
      </c>
    </row>
    <row r="61" spans="1:11" x14ac:dyDescent="0.25">
      <c r="C61" s="21" t="s">
        <v>317</v>
      </c>
      <c r="D61" s="68">
        <f>$D$56*0.2</f>
        <v>160000000</v>
      </c>
      <c r="E61" s="55">
        <f t="shared" si="1"/>
        <v>0.2</v>
      </c>
    </row>
    <row r="62" spans="1:11" x14ac:dyDescent="0.25">
      <c r="C62" s="21" t="s">
        <v>318</v>
      </c>
      <c r="D62" s="68">
        <f>$D$56*0.02</f>
        <v>16000000</v>
      </c>
      <c r="E62" s="55">
        <f t="shared" si="1"/>
        <v>0.02</v>
      </c>
    </row>
    <row r="63" spans="1:11" x14ac:dyDescent="0.25">
      <c r="C63" s="21" t="s">
        <v>319</v>
      </c>
      <c r="D63" s="68">
        <f>$D$56*0.01</f>
        <v>8000000</v>
      </c>
      <c r="E63" s="55">
        <f t="shared" si="1"/>
        <v>0.01</v>
      </c>
    </row>
    <row r="64" spans="1:11" x14ac:dyDescent="0.25">
      <c r="C64" s="61" t="s">
        <v>320</v>
      </c>
      <c r="D64" s="68">
        <f>D58-SUM(D60:D63)</f>
        <v>71999999.99999994</v>
      </c>
      <c r="E64" s="55">
        <f t="shared" si="1"/>
        <v>8.9999999999999927E-2</v>
      </c>
    </row>
    <row r="65" spans="3:5" x14ac:dyDescent="0.25">
      <c r="C65" s="21" t="s">
        <v>321</v>
      </c>
      <c r="D65" s="68">
        <f>$D$56*0.01</f>
        <v>8000000</v>
      </c>
      <c r="E65" s="55">
        <f t="shared" si="1"/>
        <v>0.01</v>
      </c>
    </row>
    <row r="66" spans="3:5" x14ac:dyDescent="0.25">
      <c r="C66" s="61" t="s">
        <v>322</v>
      </c>
      <c r="D66" s="68">
        <f>D64+D65</f>
        <v>79999999.99999994</v>
      </c>
      <c r="E66" s="55">
        <f t="shared" si="1"/>
        <v>9.9999999999999922E-2</v>
      </c>
    </row>
    <row r="67" spans="3:5" x14ac:dyDescent="0.25">
      <c r="C67" s="21" t="s">
        <v>323</v>
      </c>
      <c r="D67" s="68">
        <f>$D$56*0.011</f>
        <v>8800000</v>
      </c>
      <c r="E67" s="55">
        <f t="shared" si="1"/>
        <v>1.0999999999999999E-2</v>
      </c>
    </row>
    <row r="68" spans="3:5" x14ac:dyDescent="0.25">
      <c r="C68" s="61" t="s">
        <v>324</v>
      </c>
      <c r="D68" s="68">
        <f>D66-D67</f>
        <v>71199999.99999994</v>
      </c>
      <c r="E68" s="55">
        <f t="shared" si="1"/>
        <v>8.8999999999999926E-2</v>
      </c>
    </row>
    <row r="69" spans="3:5" x14ac:dyDescent="0.25">
      <c r="C69" s="21" t="s">
        <v>325</v>
      </c>
      <c r="D69" s="68">
        <f>0.3*D68</f>
        <v>21359999.999999981</v>
      </c>
      <c r="E69" s="55">
        <f t="shared" si="1"/>
        <v>2.6699999999999977E-2</v>
      </c>
    </row>
    <row r="70" spans="3:5" x14ac:dyDescent="0.25">
      <c r="C70" s="61" t="s">
        <v>326</v>
      </c>
      <c r="D70" s="68">
        <f>D68-D69</f>
        <v>49839999.999999955</v>
      </c>
      <c r="E70" s="55">
        <f t="shared" si="1"/>
        <v>6.2299999999999946E-2</v>
      </c>
    </row>
    <row r="72" spans="3:5" x14ac:dyDescent="0.25">
      <c r="C72" s="37" t="s">
        <v>327</v>
      </c>
    </row>
  </sheetData>
  <mergeCells count="22">
    <mergeCell ref="C50:K50"/>
    <mergeCell ref="A2:K2"/>
    <mergeCell ref="A3:K3"/>
    <mergeCell ref="E12:G12"/>
    <mergeCell ref="H12:J12"/>
    <mergeCell ref="H33:I33"/>
    <mergeCell ref="B54:J54"/>
    <mergeCell ref="B5:J5"/>
    <mergeCell ref="B26:J26"/>
    <mergeCell ref="C40:K40"/>
    <mergeCell ref="B25:J25"/>
    <mergeCell ref="B7:J7"/>
    <mergeCell ref="C10:K10"/>
    <mergeCell ref="C23:K23"/>
    <mergeCell ref="C9:K9"/>
    <mergeCell ref="C51:K51"/>
    <mergeCell ref="C28:K28"/>
    <mergeCell ref="C49:K49"/>
    <mergeCell ref="D45:F45"/>
    <mergeCell ref="D43:F43"/>
    <mergeCell ref="D44:F44"/>
    <mergeCell ref="B46:F46"/>
  </mergeCells>
  <hyperlinks>
    <hyperlink ref="B26" r:id="rId1" display="https://support.office.com/en-us/article/overview-of-excel-tables-7ab0bb7d-3a9e-4b56-a3c9-6c94334e492c?ui=en-US&amp;rs=en-US&amp;ad=US" xr:uid="{4E6B860F-7B77-4CCE-A385-716DD28F4478}"/>
  </hyperlinks>
  <pageMargins left="0.7" right="0.7" top="0.75" bottom="0.75" header="0.3" footer="0.3"/>
  <pageSetup orientation="portrait" horizontalDpi="0" verticalDpi="0"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1DC0-9C4A-4F5B-B1A4-60175682C8BB}">
  <sheetPr>
    <tabColor theme="4"/>
  </sheetPr>
  <dimension ref="A1:J84"/>
  <sheetViews>
    <sheetView showGridLines="0" workbookViewId="0"/>
  </sheetViews>
  <sheetFormatPr defaultRowHeight="15.75" x14ac:dyDescent="0.25"/>
  <cols>
    <col min="1" max="1" width="2.625" customWidth="1"/>
    <col min="2" max="2" width="1.75" customWidth="1"/>
    <col min="3" max="3" width="36.75" customWidth="1"/>
    <col min="4" max="4" width="13.5" customWidth="1"/>
    <col min="5" max="5" width="13" customWidth="1"/>
    <col min="7" max="7" width="8.75" customWidth="1"/>
  </cols>
  <sheetData>
    <row r="1" spans="1:10" ht="31.5" x14ac:dyDescent="0.5">
      <c r="A1" s="2" t="s">
        <v>328</v>
      </c>
    </row>
    <row r="2" spans="1:10" ht="84" customHeight="1" x14ac:dyDescent="0.25">
      <c r="C2" s="324" t="s">
        <v>329</v>
      </c>
      <c r="D2" s="324"/>
      <c r="E2" s="324"/>
      <c r="F2" s="324"/>
      <c r="G2" s="324"/>
      <c r="H2" s="324"/>
      <c r="I2" s="324"/>
      <c r="J2" s="324"/>
    </row>
    <row r="3" spans="1:10" x14ac:dyDescent="0.25">
      <c r="C3" t="s">
        <v>330</v>
      </c>
    </row>
    <row r="4" spans="1:10" x14ac:dyDescent="0.25">
      <c r="C4" t="s">
        <v>1249</v>
      </c>
    </row>
    <row r="5" spans="1:10" ht="19.5" x14ac:dyDescent="0.3">
      <c r="A5" s="46" t="s">
        <v>331</v>
      </c>
    </row>
    <row r="6" spans="1:10" ht="33.75" customHeight="1" x14ac:dyDescent="0.25">
      <c r="C6" s="339" t="s">
        <v>332</v>
      </c>
      <c r="D6" s="339"/>
      <c r="E6" s="339"/>
      <c r="F6" s="339"/>
      <c r="G6" s="339"/>
      <c r="H6" s="339"/>
      <c r="I6" s="339"/>
    </row>
    <row r="8" spans="1:10" ht="19.5" x14ac:dyDescent="0.3">
      <c r="A8" s="46" t="s">
        <v>333</v>
      </c>
    </row>
    <row r="9" spans="1:10" x14ac:dyDescent="0.25">
      <c r="C9" s="82" t="s">
        <v>334</v>
      </c>
    </row>
    <row r="10" spans="1:10" ht="18.75" x14ac:dyDescent="0.35">
      <c r="C10" s="147" t="s">
        <v>335</v>
      </c>
      <c r="D10" s="148"/>
      <c r="E10" s="148"/>
      <c r="F10" s="146"/>
      <c r="G10" s="146"/>
    </row>
    <row r="11" spans="1:10" x14ac:dyDescent="0.25">
      <c r="C11" s="358" t="s">
        <v>336</v>
      </c>
      <c r="D11" s="149">
        <v>2022</v>
      </c>
      <c r="E11" s="149">
        <v>2021</v>
      </c>
      <c r="F11" s="146"/>
      <c r="G11" s="146"/>
    </row>
    <row r="12" spans="1:10" ht="12.75" customHeight="1" thickBot="1" x14ac:dyDescent="0.3">
      <c r="C12" s="358"/>
      <c r="D12" s="167" t="s">
        <v>337</v>
      </c>
      <c r="E12" s="167" t="s">
        <v>338</v>
      </c>
      <c r="F12" s="146"/>
      <c r="G12" s="146"/>
    </row>
    <row r="13" spans="1:10" ht="18.75" thickBot="1" x14ac:dyDescent="0.35">
      <c r="C13" s="150" t="s">
        <v>339</v>
      </c>
      <c r="D13" s="151"/>
      <c r="E13" s="151"/>
      <c r="F13" s="146"/>
      <c r="G13" s="146"/>
    </row>
    <row r="14" spans="1:10" ht="16.5" thickBot="1" x14ac:dyDescent="0.3">
      <c r="C14" s="152" t="s">
        <v>340</v>
      </c>
      <c r="D14" s="168">
        <f>Users*100</f>
        <v>10000</v>
      </c>
      <c r="E14" s="168">
        <f>D14*0.95</f>
        <v>9500</v>
      </c>
      <c r="F14" s="146"/>
      <c r="G14" s="146"/>
    </row>
    <row r="15" spans="1:10" ht="16.5" thickBot="1" x14ac:dyDescent="0.3">
      <c r="C15" s="153" t="s">
        <v>341</v>
      </c>
      <c r="D15" s="169">
        <f>D$14*$F15</f>
        <v>384.61538461538464</v>
      </c>
      <c r="E15" s="169">
        <f>E$14*$F15</f>
        <v>365.38461538461542</v>
      </c>
      <c r="F15" s="164">
        <v>3.8461538461538464E-2</v>
      </c>
      <c r="G15" s="146"/>
    </row>
    <row r="16" spans="1:10" x14ac:dyDescent="0.25">
      <c r="C16" s="154" t="s">
        <v>342</v>
      </c>
      <c r="D16" s="170">
        <f>D$14*$F16</f>
        <v>128.2051282051282</v>
      </c>
      <c r="E16" s="170">
        <f>E$14*$F16</f>
        <v>121.7948717948718</v>
      </c>
      <c r="F16" s="164">
        <v>1.282051282051282E-2</v>
      </c>
      <c r="G16" s="146"/>
    </row>
    <row r="17" spans="3:7" ht="16.5" thickBot="1" x14ac:dyDescent="0.3">
      <c r="C17" s="155" t="s">
        <v>43</v>
      </c>
      <c r="D17" s="171">
        <f>D14-D15-D16</f>
        <v>9487.1794871794864</v>
      </c>
      <c r="E17" s="171">
        <f>E14-E15-E16</f>
        <v>9012.8205128205136</v>
      </c>
      <c r="F17" s="146"/>
      <c r="G17" s="146"/>
    </row>
    <row r="18" spans="3:7" ht="17.25" thickTop="1" x14ac:dyDescent="0.3">
      <c r="C18" s="156"/>
      <c r="D18" s="172"/>
      <c r="E18" s="172"/>
      <c r="F18" s="146"/>
      <c r="G18" s="146"/>
    </row>
    <row r="19" spans="3:7" ht="18" x14ac:dyDescent="0.25">
      <c r="C19" s="150" t="s">
        <v>44</v>
      </c>
      <c r="D19" s="173"/>
      <c r="E19" s="173"/>
      <c r="F19" s="146"/>
      <c r="G19" s="146"/>
    </row>
    <row r="20" spans="3:7" ht="16.5" thickBot="1" x14ac:dyDescent="0.3">
      <c r="C20" s="157" t="s">
        <v>343</v>
      </c>
      <c r="D20" s="169">
        <f t="shared" ref="D20:E22" si="0">D$14*$F20</f>
        <v>1025.6410256410256</v>
      </c>
      <c r="E20" s="169">
        <f t="shared" si="0"/>
        <v>974.35897435897436</v>
      </c>
      <c r="F20" s="164">
        <v>0.10256410256410256</v>
      </c>
      <c r="G20" s="146"/>
    </row>
    <row r="21" spans="3:7" ht="16.5" thickBot="1" x14ac:dyDescent="0.3">
      <c r="C21" s="157" t="s">
        <v>344</v>
      </c>
      <c r="D21" s="169">
        <f t="shared" si="0"/>
        <v>1153.8461538461538</v>
      </c>
      <c r="E21" s="169">
        <f t="shared" si="0"/>
        <v>1096.1538461538462</v>
      </c>
      <c r="F21" s="164">
        <v>0.11538461538461539</v>
      </c>
      <c r="G21" s="146"/>
    </row>
    <row r="22" spans="3:7" x14ac:dyDescent="0.25">
      <c r="C22" s="158" t="s">
        <v>345</v>
      </c>
      <c r="D22" s="170">
        <f t="shared" si="0"/>
        <v>256.41025641025641</v>
      </c>
      <c r="E22" s="170">
        <f t="shared" si="0"/>
        <v>243.58974358974359</v>
      </c>
      <c r="F22" s="164">
        <v>2.564102564102564E-2</v>
      </c>
      <c r="G22" s="146"/>
    </row>
    <row r="23" spans="3:7" x14ac:dyDescent="0.25">
      <c r="C23" s="159" t="s">
        <v>346</v>
      </c>
      <c r="D23" s="174">
        <f>SUM(D20:D22)</f>
        <v>2435.897435897436</v>
      </c>
      <c r="E23" s="174">
        <f>SUM(E20:E22)</f>
        <v>2314.102564102564</v>
      </c>
      <c r="F23" s="146"/>
      <c r="G23" s="146"/>
    </row>
    <row r="24" spans="3:7" ht="16.5" thickBot="1" x14ac:dyDescent="0.3">
      <c r="C24" s="160" t="s">
        <v>347</v>
      </c>
      <c r="D24" s="175">
        <f>D17-D23</f>
        <v>7051.2820512820508</v>
      </c>
      <c r="E24" s="175">
        <f>E17-E23</f>
        <v>6698.7179487179492</v>
      </c>
      <c r="F24" s="146"/>
      <c r="G24" s="146"/>
    </row>
    <row r="25" spans="3:7" ht="17.25" thickTop="1" x14ac:dyDescent="0.3">
      <c r="C25" s="156"/>
      <c r="D25" s="172"/>
      <c r="E25" s="172"/>
      <c r="F25" s="146"/>
      <c r="G25" s="146"/>
    </row>
    <row r="26" spans="3:7" ht="18" x14ac:dyDescent="0.25">
      <c r="C26" s="150" t="s">
        <v>45</v>
      </c>
      <c r="D26" s="173"/>
      <c r="E26" s="173"/>
      <c r="F26" s="146"/>
      <c r="G26" s="146"/>
    </row>
    <row r="27" spans="3:7" ht="16.5" thickBot="1" x14ac:dyDescent="0.3">
      <c r="C27" s="161" t="s">
        <v>348</v>
      </c>
      <c r="D27" s="169">
        <f t="shared" ref="D27:E41" si="1">D$14*$F27</f>
        <v>1282.051282051282</v>
      </c>
      <c r="E27" s="169">
        <f t="shared" si="1"/>
        <v>1217.9487179487178</v>
      </c>
      <c r="F27" s="164">
        <v>0.12820512820512819</v>
      </c>
      <c r="G27" s="146"/>
    </row>
    <row r="28" spans="3:7" x14ac:dyDescent="0.25">
      <c r="C28" s="161" t="s">
        <v>349</v>
      </c>
      <c r="D28" s="169">
        <f t="shared" si="1"/>
        <v>64.102564102564102</v>
      </c>
      <c r="E28" s="169">
        <f t="shared" si="1"/>
        <v>60.897435897435898</v>
      </c>
      <c r="F28" s="164">
        <v>6.41025641025641E-3</v>
      </c>
      <c r="G28" s="146"/>
    </row>
    <row r="29" spans="3:7" ht="16.5" thickBot="1" x14ac:dyDescent="0.3">
      <c r="C29" s="161" t="s">
        <v>1248</v>
      </c>
      <c r="D29" s="169">
        <f t="shared" si="1"/>
        <v>12.820512820512821</v>
      </c>
      <c r="E29" s="169">
        <f t="shared" si="1"/>
        <v>12.179487179487179</v>
      </c>
      <c r="F29" s="164">
        <v>1.2820512820512821E-3</v>
      </c>
      <c r="G29" s="146"/>
    </row>
    <row r="30" spans="3:7" ht="16.5" thickBot="1" x14ac:dyDescent="0.3">
      <c r="C30" s="161" t="s">
        <v>350</v>
      </c>
      <c r="D30" s="169">
        <f t="shared" si="1"/>
        <v>6.4102564102564106</v>
      </c>
      <c r="E30" s="169">
        <f t="shared" si="1"/>
        <v>6.0897435897435894</v>
      </c>
      <c r="F30" s="164">
        <v>6.4102564102564103E-4</v>
      </c>
      <c r="G30" s="146"/>
    </row>
    <row r="31" spans="3:7" ht="16.5" thickBot="1" x14ac:dyDescent="0.3">
      <c r="C31" s="161" t="s">
        <v>351</v>
      </c>
      <c r="D31" s="169">
        <f t="shared" si="1"/>
        <v>641.02564102564099</v>
      </c>
      <c r="E31" s="169">
        <f t="shared" si="1"/>
        <v>608.97435897435889</v>
      </c>
      <c r="F31" s="164">
        <v>6.4102564102564097E-2</v>
      </c>
      <c r="G31" s="146"/>
    </row>
    <row r="32" spans="3:7" ht="16.5" thickBot="1" x14ac:dyDescent="0.3">
      <c r="C32" s="161" t="s">
        <v>352</v>
      </c>
      <c r="D32" s="169">
        <f t="shared" si="1"/>
        <v>128.2051282051282</v>
      </c>
      <c r="E32" s="169">
        <f t="shared" si="1"/>
        <v>121.7948717948718</v>
      </c>
      <c r="F32" s="164">
        <v>1.282051282051282E-2</v>
      </c>
      <c r="G32" s="146"/>
    </row>
    <row r="33" spans="3:7" ht="16.5" thickBot="1" x14ac:dyDescent="0.3">
      <c r="C33" s="161" t="s">
        <v>353</v>
      </c>
      <c r="D33" s="169">
        <f t="shared" si="1"/>
        <v>128.2051282051282</v>
      </c>
      <c r="E33" s="169">
        <f t="shared" si="1"/>
        <v>121.7948717948718</v>
      </c>
      <c r="F33" s="164">
        <v>1.282051282051282E-2</v>
      </c>
      <c r="G33" s="146"/>
    </row>
    <row r="34" spans="3:7" ht="16.5" thickBot="1" x14ac:dyDescent="0.3">
      <c r="C34" s="161" t="s">
        <v>354</v>
      </c>
      <c r="D34" s="169">
        <f t="shared" si="1"/>
        <v>64.102564102564102</v>
      </c>
      <c r="E34" s="169">
        <f t="shared" si="1"/>
        <v>60.897435897435898</v>
      </c>
      <c r="F34" s="164">
        <v>6.41025641025641E-3</v>
      </c>
      <c r="G34" s="146"/>
    </row>
    <row r="35" spans="3:7" ht="16.5" thickBot="1" x14ac:dyDescent="0.3">
      <c r="C35" s="161" t="s">
        <v>355</v>
      </c>
      <c r="D35" s="169">
        <f t="shared" si="1"/>
        <v>192.30769230769232</v>
      </c>
      <c r="E35" s="169">
        <f t="shared" si="1"/>
        <v>182.69230769230771</v>
      </c>
      <c r="F35" s="164">
        <v>1.9230769230769232E-2</v>
      </c>
      <c r="G35" s="146"/>
    </row>
    <row r="36" spans="3:7" ht="16.5" thickBot="1" x14ac:dyDescent="0.3">
      <c r="C36" s="161" t="s">
        <v>356</v>
      </c>
      <c r="D36" s="169">
        <f t="shared" si="1"/>
        <v>128.2051282051282</v>
      </c>
      <c r="E36" s="169">
        <f t="shared" si="1"/>
        <v>121.7948717948718</v>
      </c>
      <c r="F36" s="164">
        <v>1.282051282051282E-2</v>
      </c>
      <c r="G36" s="146"/>
    </row>
    <row r="37" spans="3:7" ht="16.5" thickBot="1" x14ac:dyDescent="0.3">
      <c r="C37" s="161" t="s">
        <v>357</v>
      </c>
      <c r="D37" s="169">
        <f t="shared" si="1"/>
        <v>1025.6410256410256</v>
      </c>
      <c r="E37" s="169">
        <f t="shared" si="1"/>
        <v>974.35897435897436</v>
      </c>
      <c r="F37" s="164">
        <v>0.10256410256410256</v>
      </c>
      <c r="G37" s="146"/>
    </row>
    <row r="38" spans="3:7" ht="16.5" thickBot="1" x14ac:dyDescent="0.3">
      <c r="C38" s="161" t="s">
        <v>358</v>
      </c>
      <c r="D38" s="169">
        <f t="shared" si="1"/>
        <v>256.41025641025641</v>
      </c>
      <c r="E38" s="169">
        <f t="shared" si="1"/>
        <v>243.58974358974359</v>
      </c>
      <c r="F38" s="164">
        <v>2.564102564102564E-2</v>
      </c>
      <c r="G38" s="146"/>
    </row>
    <row r="39" spans="3:7" ht="16.5" hidden="1" thickBot="1" x14ac:dyDescent="0.3">
      <c r="C39" s="161" t="s">
        <v>68</v>
      </c>
      <c r="D39" s="169">
        <f t="shared" si="1"/>
        <v>0</v>
      </c>
      <c r="E39" s="169">
        <f t="shared" si="1"/>
        <v>0</v>
      </c>
      <c r="F39" s="164">
        <v>0</v>
      </c>
      <c r="G39" s="146"/>
    </row>
    <row r="40" spans="3:7" ht="16.5" hidden="1" thickBot="1" x14ac:dyDescent="0.3">
      <c r="C40" s="161" t="s">
        <v>68</v>
      </c>
      <c r="D40" s="169">
        <f t="shared" si="1"/>
        <v>0</v>
      </c>
      <c r="E40" s="169">
        <f t="shared" si="1"/>
        <v>0</v>
      </c>
      <c r="F40" s="164">
        <v>0</v>
      </c>
      <c r="G40" s="146"/>
    </row>
    <row r="41" spans="3:7" x14ac:dyDescent="0.25">
      <c r="C41" s="165" t="s">
        <v>359</v>
      </c>
      <c r="D41" s="176">
        <f t="shared" si="1"/>
        <v>12.820512820512821</v>
      </c>
      <c r="E41" s="176">
        <f t="shared" si="1"/>
        <v>12.179487179487179</v>
      </c>
      <c r="F41" s="164">
        <v>1.2820512820512821E-3</v>
      </c>
      <c r="G41" s="146"/>
    </row>
    <row r="42" spans="3:7" x14ac:dyDescent="0.25">
      <c r="C42" s="166" t="s">
        <v>360</v>
      </c>
      <c r="D42" s="177">
        <f>SUM(D27:D41)</f>
        <v>3942.3076923076928</v>
      </c>
      <c r="E42" s="177">
        <f>SUM(E27:E41)</f>
        <v>3745.1923076923072</v>
      </c>
      <c r="F42" s="164"/>
      <c r="G42" s="146"/>
    </row>
    <row r="43" spans="3:7" ht="16.5" thickBot="1" x14ac:dyDescent="0.3">
      <c r="C43" s="160" t="s">
        <v>361</v>
      </c>
      <c r="D43" s="175">
        <f>D24-D42</f>
        <v>3108.974358974358</v>
      </c>
      <c r="E43" s="175">
        <f>E24-E42</f>
        <v>2953.525641025642</v>
      </c>
      <c r="F43" s="146"/>
      <c r="G43" s="146"/>
    </row>
    <row r="44" spans="3:7" ht="17.25" thickTop="1" thickBot="1" x14ac:dyDescent="0.3">
      <c r="C44" s="161" t="s">
        <v>362</v>
      </c>
      <c r="D44" s="169">
        <f t="shared" ref="D44:E45" si="2">D$14*$F44</f>
        <v>256.41025641025641</v>
      </c>
      <c r="E44" s="169">
        <f t="shared" si="2"/>
        <v>243.58974358974359</v>
      </c>
      <c r="F44" s="164">
        <v>2.564102564102564E-2</v>
      </c>
      <c r="G44" s="146"/>
    </row>
    <row r="45" spans="3:7" x14ac:dyDescent="0.25">
      <c r="C45" s="162" t="s">
        <v>363</v>
      </c>
      <c r="D45" s="174">
        <f t="shared" si="2"/>
        <v>128.2051282051282</v>
      </c>
      <c r="E45" s="174">
        <f t="shared" si="2"/>
        <v>121.7948717948718</v>
      </c>
      <c r="F45" s="164">
        <v>1.282051282051282E-2</v>
      </c>
      <c r="G45" s="146"/>
    </row>
    <row r="46" spans="3:7" ht="16.5" thickBot="1" x14ac:dyDescent="0.3">
      <c r="C46" s="163" t="s">
        <v>364</v>
      </c>
      <c r="D46" s="175">
        <f>SUM(D43:D45)</f>
        <v>3493.5897435897427</v>
      </c>
      <c r="E46" s="175">
        <f>SUM(E43:E45)</f>
        <v>3318.9102564102573</v>
      </c>
      <c r="F46" s="146"/>
      <c r="G46" s="146"/>
    </row>
    <row r="47" spans="3:7" ht="17.25" thickTop="1" thickBot="1" x14ac:dyDescent="0.3">
      <c r="C47" s="161" t="s">
        <v>365</v>
      </c>
      <c r="D47" s="169">
        <f>D$14*$F47</f>
        <v>512.82051282051282</v>
      </c>
      <c r="E47" s="169">
        <f>E$14*$F47</f>
        <v>487.17948717948718</v>
      </c>
      <c r="F47" s="164">
        <v>5.128205128205128E-2</v>
      </c>
      <c r="G47" s="146"/>
    </row>
    <row r="48" spans="3:7" ht="16.5" thickBot="1" x14ac:dyDescent="0.3">
      <c r="C48" s="163" t="s">
        <v>366</v>
      </c>
      <c r="D48" s="175">
        <f>D46-D47</f>
        <v>2980.76923076923</v>
      </c>
      <c r="E48" s="175">
        <f>E46-E47</f>
        <v>2831.73076923077</v>
      </c>
      <c r="F48" s="146"/>
      <c r="G48" s="146"/>
    </row>
    <row r="49" spans="1:4" ht="16.5" thickTop="1" x14ac:dyDescent="0.25"/>
    <row r="52" spans="1:4" ht="19.5" x14ac:dyDescent="0.3">
      <c r="A52" s="46" t="s">
        <v>367</v>
      </c>
    </row>
    <row r="53" spans="1:4" ht="19.5" x14ac:dyDescent="0.3">
      <c r="A53" s="46"/>
    </row>
    <row r="54" spans="1:4" x14ac:dyDescent="0.25">
      <c r="A54" t="s">
        <v>368</v>
      </c>
    </row>
    <row r="55" spans="1:4" ht="17.25" x14ac:dyDescent="0.3">
      <c r="A55" s="359" t="s">
        <v>153</v>
      </c>
      <c r="B55" s="359"/>
      <c r="C55" s="359"/>
      <c r="D55" s="179"/>
    </row>
    <row r="56" spans="1:4" x14ac:dyDescent="0.25">
      <c r="A56" s="179"/>
      <c r="B56" s="357" t="s">
        <v>369</v>
      </c>
      <c r="C56" s="357"/>
      <c r="D56" s="179"/>
    </row>
    <row r="57" spans="1:4" x14ac:dyDescent="0.25">
      <c r="A57" s="179"/>
      <c r="B57" s="179"/>
      <c r="C57" s="180" t="s">
        <v>370</v>
      </c>
      <c r="D57" s="180" t="s">
        <v>371</v>
      </c>
    </row>
    <row r="58" spans="1:4" x14ac:dyDescent="0.25">
      <c r="A58" s="179"/>
      <c r="B58" s="179"/>
      <c r="C58" s="180" t="s">
        <v>370</v>
      </c>
      <c r="D58" s="180" t="s">
        <v>371</v>
      </c>
    </row>
    <row r="59" spans="1:4" ht="17.25" x14ac:dyDescent="0.3">
      <c r="A59" s="359" t="s">
        <v>163</v>
      </c>
      <c r="B59" s="359"/>
      <c r="C59" s="359"/>
      <c r="D59" s="179"/>
    </row>
    <row r="60" spans="1:4" x14ac:dyDescent="0.25">
      <c r="A60" s="179"/>
      <c r="B60" s="357" t="s">
        <v>372</v>
      </c>
      <c r="C60" s="357"/>
      <c r="D60" s="179"/>
    </row>
    <row r="61" spans="1:4" x14ac:dyDescent="0.25">
      <c r="A61" s="179"/>
      <c r="B61" s="179"/>
      <c r="C61" s="180" t="s">
        <v>370</v>
      </c>
      <c r="D61" s="180" t="s">
        <v>371</v>
      </c>
    </row>
    <row r="62" spans="1:4" x14ac:dyDescent="0.25">
      <c r="A62" s="181"/>
      <c r="B62" s="181"/>
      <c r="C62" s="180" t="s">
        <v>370</v>
      </c>
      <c r="D62" s="180" t="s">
        <v>371</v>
      </c>
    </row>
    <row r="64" spans="1:4" x14ac:dyDescent="0.25">
      <c r="C64" s="82" t="s">
        <v>373</v>
      </c>
    </row>
    <row r="66" spans="1:4" ht="19.5" x14ac:dyDescent="0.3">
      <c r="A66" s="46" t="s">
        <v>374</v>
      </c>
    </row>
    <row r="67" spans="1:4" x14ac:dyDescent="0.25">
      <c r="C67" t="s">
        <v>375</v>
      </c>
    </row>
    <row r="68" spans="1:4" x14ac:dyDescent="0.25">
      <c r="C68" s="183" t="s">
        <v>376</v>
      </c>
      <c r="D68" s="104" t="s">
        <v>377</v>
      </c>
    </row>
    <row r="69" spans="1:4" ht="31.5" x14ac:dyDescent="0.25">
      <c r="C69" s="183" t="s">
        <v>378</v>
      </c>
      <c r="D69" s="182" t="s">
        <v>1344</v>
      </c>
    </row>
    <row r="70" spans="1:4" ht="31.5" x14ac:dyDescent="0.25">
      <c r="C70" s="183" t="s">
        <v>379</v>
      </c>
      <c r="D70" s="104" t="s">
        <v>380</v>
      </c>
    </row>
    <row r="71" spans="1:4" x14ac:dyDescent="0.25">
      <c r="C71" s="82" t="s">
        <v>381</v>
      </c>
    </row>
    <row r="73" spans="1:4" ht="19.5" x14ac:dyDescent="0.3">
      <c r="A73" s="46" t="s">
        <v>382</v>
      </c>
    </row>
    <row r="74" spans="1:4" ht="47.25" x14ac:dyDescent="0.25">
      <c r="C74" s="142" t="s">
        <v>383</v>
      </c>
      <c r="D74" s="11" t="s">
        <v>384</v>
      </c>
    </row>
    <row r="75" spans="1:4" ht="47.25" x14ac:dyDescent="0.25">
      <c r="C75" s="142" t="s">
        <v>385</v>
      </c>
      <c r="D75" s="11" t="s">
        <v>386</v>
      </c>
    </row>
    <row r="78" spans="1:4" ht="19.5" x14ac:dyDescent="0.3">
      <c r="A78" s="46" t="s">
        <v>387</v>
      </c>
    </row>
    <row r="79" spans="1:4" x14ac:dyDescent="0.25">
      <c r="C79" t="s">
        <v>388</v>
      </c>
    </row>
    <row r="80" spans="1:4" x14ac:dyDescent="0.25">
      <c r="C80" t="s">
        <v>389</v>
      </c>
    </row>
    <row r="83" spans="1:9" x14ac:dyDescent="0.25">
      <c r="A83" s="309" t="s">
        <v>1342</v>
      </c>
    </row>
    <row r="84" spans="1:9" ht="33" customHeight="1" x14ac:dyDescent="0.25">
      <c r="C84" s="339" t="s">
        <v>1341</v>
      </c>
      <c r="D84" s="339"/>
      <c r="E84" s="339"/>
      <c r="F84" s="339"/>
      <c r="G84" s="339"/>
      <c r="H84" s="339"/>
      <c r="I84" s="339"/>
    </row>
  </sheetData>
  <mergeCells count="8">
    <mergeCell ref="C84:I84"/>
    <mergeCell ref="C2:J2"/>
    <mergeCell ref="B60:C60"/>
    <mergeCell ref="C6:I6"/>
    <mergeCell ref="C11:C12"/>
    <mergeCell ref="A55:C55"/>
    <mergeCell ref="A59:C59"/>
    <mergeCell ref="B56:C56"/>
  </mergeCells>
  <hyperlinks>
    <hyperlink ref="D69" r:id="rId1" display="https://analysisplace.com/Portals/0/Logo.png" xr:uid="{D152244A-79BD-498D-87E2-5245E0AB3E1C}"/>
  </hyperlinks>
  <pageMargins left="0.7" right="0.7" top="0.75" bottom="0.75" header="0.3" footer="0.3"/>
  <pageSetup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1EC7-CC62-4900-83C3-A6B0201D2AEA}">
  <sheetPr codeName="Sheet2">
    <tabColor theme="4"/>
  </sheetPr>
  <dimension ref="A1:J41"/>
  <sheetViews>
    <sheetView showGridLines="0" workbookViewId="0"/>
  </sheetViews>
  <sheetFormatPr defaultColWidth="8.875" defaultRowHeight="15.75" x14ac:dyDescent="0.25"/>
  <cols>
    <col min="1" max="1" width="2.375" customWidth="1"/>
    <col min="2" max="2" width="14.125" customWidth="1"/>
    <col min="3" max="3" width="26.125" customWidth="1"/>
    <col min="5" max="5" width="17" customWidth="1"/>
    <col min="6" max="6" width="10.125" customWidth="1"/>
  </cols>
  <sheetData>
    <row r="1" spans="1:10" ht="31.5" x14ac:dyDescent="0.25">
      <c r="A1" s="66" t="s">
        <v>102</v>
      </c>
    </row>
    <row r="2" spans="1:10" ht="128.25" customHeight="1" x14ac:dyDescent="0.25">
      <c r="B2" s="342" t="s">
        <v>390</v>
      </c>
      <c r="C2" s="342"/>
      <c r="D2" s="342"/>
      <c r="E2" s="342"/>
      <c r="F2" s="342"/>
      <c r="G2" s="342"/>
      <c r="H2" s="342"/>
      <c r="I2" s="342"/>
      <c r="J2" s="342"/>
    </row>
    <row r="3" spans="1:10" ht="19.5" x14ac:dyDescent="0.3">
      <c r="A3" s="46" t="s">
        <v>192</v>
      </c>
    </row>
    <row r="4" spans="1:10" ht="29.25" customHeight="1" thickBot="1" x14ac:dyDescent="0.3">
      <c r="B4" s="342" t="s">
        <v>391</v>
      </c>
      <c r="C4" s="342"/>
      <c r="D4" s="342"/>
      <c r="E4" s="342"/>
      <c r="F4" s="342"/>
      <c r="G4" s="342"/>
      <c r="H4" s="342"/>
      <c r="I4" s="342"/>
      <c r="J4" s="342"/>
    </row>
    <row r="5" spans="1:10" ht="16.5" thickBot="1" x14ac:dyDescent="0.3">
      <c r="G5" s="360" t="s">
        <v>392</v>
      </c>
      <c r="H5" s="360"/>
      <c r="I5" s="360"/>
      <c r="J5" s="360"/>
    </row>
    <row r="6" spans="1:10" ht="16.5" thickBot="1" x14ac:dyDescent="0.3">
      <c r="B6" s="32" t="s">
        <v>393</v>
      </c>
      <c r="C6" s="32" t="s">
        <v>394</v>
      </c>
      <c r="D6" s="32" t="s">
        <v>40</v>
      </c>
      <c r="E6" s="32" t="s">
        <v>395</v>
      </c>
      <c r="G6" s="32" t="s">
        <v>396</v>
      </c>
      <c r="H6" s="32" t="s">
        <v>397</v>
      </c>
      <c r="I6" s="32" t="s">
        <v>398</v>
      </c>
      <c r="J6" s="32" t="s">
        <v>399</v>
      </c>
    </row>
    <row r="7" spans="1:10" ht="21" customHeight="1" x14ac:dyDescent="0.25">
      <c r="B7" s="56" t="s">
        <v>400</v>
      </c>
      <c r="C7" s="21"/>
      <c r="D7" s="55">
        <f>(J7-G7)/G7</f>
        <v>0.25</v>
      </c>
      <c r="E7" s="361"/>
      <c r="G7" s="21">
        <v>100</v>
      </c>
      <c r="H7" s="21">
        <v>110</v>
      </c>
      <c r="I7" s="21">
        <v>120</v>
      </c>
      <c r="J7" s="21">
        <v>125</v>
      </c>
    </row>
    <row r="8" spans="1:10" ht="21" customHeight="1" x14ac:dyDescent="0.25">
      <c r="B8" s="56" t="s">
        <v>401</v>
      </c>
      <c r="C8" s="21"/>
      <c r="D8" s="55">
        <f>(J8-G8)/G8</f>
        <v>-0.2</v>
      </c>
      <c r="E8" s="361"/>
      <c r="G8" s="21">
        <v>110</v>
      </c>
      <c r="H8" s="21">
        <v>90</v>
      </c>
      <c r="I8" s="21">
        <v>85</v>
      </c>
      <c r="J8" s="21">
        <v>88</v>
      </c>
    </row>
    <row r="9" spans="1:10" ht="21" customHeight="1" x14ac:dyDescent="0.25">
      <c r="B9" s="56" t="s">
        <v>69</v>
      </c>
      <c r="C9" s="21"/>
      <c r="D9" s="55">
        <f>(J9-G9)/G9</f>
        <v>0.5</v>
      </c>
      <c r="E9" s="361"/>
      <c r="G9" s="21">
        <v>66</v>
      </c>
      <c r="H9" s="21">
        <v>77</v>
      </c>
      <c r="I9" s="21">
        <v>88</v>
      </c>
      <c r="J9" s="21">
        <v>99</v>
      </c>
    </row>
    <row r="10" spans="1:10" ht="21" customHeight="1" x14ac:dyDescent="0.25">
      <c r="B10" s="56" t="s">
        <v>70</v>
      </c>
      <c r="C10" s="21"/>
      <c r="D10" s="55">
        <f>(J10-G10)/G10</f>
        <v>-0.01</v>
      </c>
      <c r="E10" s="361"/>
      <c r="G10" s="21">
        <v>100</v>
      </c>
      <c r="H10" s="21">
        <v>101</v>
      </c>
      <c r="I10" s="21">
        <v>98</v>
      </c>
      <c r="J10" s="21">
        <v>99</v>
      </c>
    </row>
    <row r="11" spans="1:10" ht="21" customHeight="1" x14ac:dyDescent="0.25">
      <c r="B11" s="56" t="s">
        <v>30</v>
      </c>
      <c r="C11" s="21"/>
      <c r="D11" s="57">
        <f>(J11-G11)/G11</f>
        <v>9.3085106382978719E-2</v>
      </c>
      <c r="E11" s="361"/>
      <c r="G11" s="21">
        <f>SUM(G7:G10)</f>
        <v>376</v>
      </c>
      <c r="H11" s="21">
        <f>SUM(H7:H10)</f>
        <v>378</v>
      </c>
      <c r="I11" s="21">
        <f>SUM(I7:I10)</f>
        <v>391</v>
      </c>
      <c r="J11" s="21">
        <f>SUM(J7:J10)</f>
        <v>411</v>
      </c>
    </row>
    <row r="12" spans="1:10" ht="6" customHeight="1" x14ac:dyDescent="0.25"/>
    <row r="13" spans="1:10" x14ac:dyDescent="0.25">
      <c r="B13" s="53" t="s">
        <v>402</v>
      </c>
    </row>
    <row r="15" spans="1:10" ht="19.5" x14ac:dyDescent="0.3">
      <c r="A15" s="46" t="s">
        <v>403</v>
      </c>
    </row>
    <row r="16" spans="1:10" ht="19.5" x14ac:dyDescent="0.3">
      <c r="A16" s="46"/>
      <c r="B16" t="s">
        <v>404</v>
      </c>
    </row>
    <row r="17" spans="1:10" ht="19.5" x14ac:dyDescent="0.3">
      <c r="A17" s="46"/>
      <c r="B17" t="s">
        <v>405</v>
      </c>
    </row>
    <row r="18" spans="1:10" ht="17.25" x14ac:dyDescent="0.3">
      <c r="B18" s="19" t="s">
        <v>406</v>
      </c>
    </row>
    <row r="19" spans="1:10" x14ac:dyDescent="0.25">
      <c r="B19" s="193" t="s">
        <v>407</v>
      </c>
      <c r="C19" s="193" t="s">
        <v>408</v>
      </c>
    </row>
    <row r="20" spans="1:10" x14ac:dyDescent="0.25">
      <c r="B20" s="193">
        <v>1</v>
      </c>
      <c r="C20" s="194">
        <f ca="1">NOW()</f>
        <v>45532.415293287035</v>
      </c>
    </row>
    <row r="21" spans="1:10" x14ac:dyDescent="0.25">
      <c r="B21" s="53" t="s">
        <v>409</v>
      </c>
    </row>
    <row r="23" spans="1:10" ht="17.25" x14ac:dyDescent="0.3">
      <c r="B23" s="19" t="s">
        <v>410</v>
      </c>
    </row>
    <row r="24" spans="1:10" x14ac:dyDescent="0.25">
      <c r="B24" t="s">
        <v>411</v>
      </c>
    </row>
    <row r="25" spans="1:10" x14ac:dyDescent="0.25">
      <c r="B25" s="53" t="s">
        <v>412</v>
      </c>
    </row>
    <row r="30" spans="1:10" ht="19.5" x14ac:dyDescent="0.3">
      <c r="A30" s="46"/>
      <c r="B30" t="s">
        <v>413</v>
      </c>
    </row>
    <row r="32" spans="1:10" ht="33" customHeight="1" x14ac:dyDescent="0.25">
      <c r="B32" s="339" t="s">
        <v>414</v>
      </c>
      <c r="C32" s="339"/>
      <c r="D32" s="339"/>
      <c r="E32" s="339"/>
      <c r="F32" s="339"/>
      <c r="G32" s="339"/>
      <c r="H32" s="339"/>
      <c r="I32" s="339"/>
      <c r="J32" s="339"/>
    </row>
    <row r="34" spans="1:2" ht="19.5" x14ac:dyDescent="0.3">
      <c r="A34" s="46" t="s">
        <v>1250</v>
      </c>
    </row>
    <row r="35" spans="1:2" x14ac:dyDescent="0.25">
      <c r="B35" t="s">
        <v>1251</v>
      </c>
    </row>
    <row r="36" spans="1:2" x14ac:dyDescent="0.25">
      <c r="B36" t="s">
        <v>1252</v>
      </c>
    </row>
    <row r="37" spans="1:2" x14ac:dyDescent="0.25">
      <c r="B37" t="s">
        <v>1236</v>
      </c>
    </row>
    <row r="39" spans="1:2" ht="19.5" x14ac:dyDescent="0.3">
      <c r="A39" s="46" t="s">
        <v>1235</v>
      </c>
    </row>
    <row r="40" spans="1:2" x14ac:dyDescent="0.25">
      <c r="B40" t="s">
        <v>1237</v>
      </c>
    </row>
    <row r="41" spans="1:2" x14ac:dyDescent="0.25">
      <c r="B41" t="s">
        <v>1236</v>
      </c>
    </row>
  </sheetData>
  <mergeCells count="5">
    <mergeCell ref="B2:J2"/>
    <mergeCell ref="B4:J4"/>
    <mergeCell ref="B32:J32"/>
    <mergeCell ref="G5:J5"/>
    <mergeCell ref="E7:E11"/>
  </mergeCells>
  <conditionalFormatting sqref="D7:D11">
    <cfRule type="iconSet" priority="1">
      <iconSet iconSet="3Arrows">
        <cfvo type="percent" val="0"/>
        <cfvo type="percent" val="33"/>
        <cfvo type="percent" val="67"/>
      </iconSet>
    </cfRule>
  </conditionalFormatting>
  <pageMargins left="0.7" right="0.7" top="0.75" bottom="0.75" header="0.3" footer="0.3"/>
  <pageSetup orientation="portrait" horizontalDpi="0" verticalDpi="0" r:id="rId1"/>
  <drawing r:id="rId2"/>
  <legacyDrawing r:id="rId3"/>
  <extLst>
    <ext xmlns:x14="http://schemas.microsoft.com/office/spreadsheetml/2009/9/main" uri="{05C60535-1F16-4fd2-B633-F4F36F0B64E0}">
      <x14:sparklineGroups xmlns:xm="http://schemas.microsoft.com/office/excel/2006/main">
        <x14:sparklineGroup manualMax="0" manualMin="0" displayEmptyCellsAs="gap" markers="1" high="1" low="1" minAxisType="group" maxAxisType="group" xr2:uid="{55200C62-1A58-4ED1-BF81-34437F5E7BEF}">
          <x14:colorSeries rgb="FF376092"/>
          <x14:colorNegative rgb="FFD00000"/>
          <x14:colorAxis rgb="FF000000"/>
          <x14:colorMarkers theme="4"/>
          <x14:colorFirst rgb="FFD00000"/>
          <x14:colorLast rgb="FFD00000"/>
          <x14:colorHigh theme="9" tint="-0.249977111117893"/>
          <x14:colorLow rgb="FFFF0000"/>
          <x14:sparklines>
            <x14:sparkline>
              <xm:f>Image!G11:J11</xm:f>
              <xm:sqref>C11</xm:sqref>
            </x14:sparkline>
          </x14:sparklines>
        </x14:sparklineGroup>
        <x14:sparklineGroup manualMax="0" manualMin="0" displayEmptyCellsAs="gap" markers="1" high="1" low="1" minAxisType="group" maxAxisType="group" xr2:uid="{4FD6A8C6-02A3-4D87-826F-1DC258B49894}">
          <x14:colorSeries rgb="FF376092"/>
          <x14:colorNegative rgb="FFD00000"/>
          <x14:colorAxis rgb="FF000000"/>
          <x14:colorMarkers theme="4"/>
          <x14:colorFirst rgb="FFD00000"/>
          <x14:colorLast rgb="FFD00000"/>
          <x14:colorHigh theme="9" tint="-0.249977111117893"/>
          <x14:colorLow rgb="FFFF0000"/>
          <x14:sparklines>
            <x14:sparkline>
              <xm:f>Image!G7:J7</xm:f>
              <xm:sqref>C7</xm:sqref>
            </x14:sparkline>
            <x14:sparkline>
              <xm:f>Image!G8:J8</xm:f>
              <xm:sqref>C8</xm:sqref>
            </x14:sparkline>
            <x14:sparkline>
              <xm:f>Image!G9:J9</xm:f>
              <xm:sqref>C9</xm:sqref>
            </x14:sparkline>
            <x14:sparkline>
              <xm:f>Image!G10:J10</xm:f>
              <xm:sqref>C10</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50BE-F82E-4A39-B03B-EFC274C6E54D}">
  <sheetPr codeName="Sheet21">
    <tabColor theme="5" tint="0.79998168889431442"/>
  </sheetPr>
  <dimension ref="A1:M233"/>
  <sheetViews>
    <sheetView showGridLines="0" zoomScaleNormal="100" workbookViewId="0"/>
  </sheetViews>
  <sheetFormatPr defaultRowHeight="15.75" x14ac:dyDescent="0.25"/>
  <cols>
    <col min="1" max="1" width="2.75" customWidth="1"/>
    <col min="2" max="2" width="13.125" customWidth="1"/>
    <col min="3" max="5" width="9.625" customWidth="1"/>
    <col min="6" max="6" width="9.375" bestFit="1" customWidth="1"/>
    <col min="12" max="12" width="45.5" customWidth="1"/>
    <col min="13" max="13" width="9" bestFit="1" customWidth="1"/>
    <col min="14" max="15" width="8.75" customWidth="1"/>
  </cols>
  <sheetData>
    <row r="1" spans="1:13" s="116" customFormat="1" ht="31.5" x14ac:dyDescent="0.5">
      <c r="A1" s="2" t="s">
        <v>1159</v>
      </c>
    </row>
    <row r="2" spans="1:13" ht="70.5" customHeight="1" x14ac:dyDescent="0.45">
      <c r="A2" s="101"/>
      <c r="B2" s="362" t="s">
        <v>1338</v>
      </c>
      <c r="C2" s="363"/>
      <c r="D2" s="363"/>
      <c r="E2" s="363"/>
      <c r="F2" s="363"/>
      <c r="G2" s="363"/>
      <c r="H2" s="363"/>
      <c r="I2" s="363"/>
      <c r="J2" s="363"/>
      <c r="K2" s="363"/>
      <c r="L2" s="363"/>
    </row>
    <row r="3" spans="1:13" ht="32.25" customHeight="1" x14ac:dyDescent="0.25">
      <c r="B3" s="364" t="s">
        <v>1184</v>
      </c>
      <c r="C3" s="363"/>
      <c r="D3" s="363"/>
      <c r="E3" s="363"/>
      <c r="F3" s="363"/>
      <c r="G3" s="363"/>
      <c r="H3" s="363"/>
      <c r="I3" s="363"/>
      <c r="J3" s="363"/>
      <c r="K3" s="363"/>
      <c r="L3" s="363"/>
    </row>
    <row r="4" spans="1:13" ht="98.25" customHeight="1" x14ac:dyDescent="0.25">
      <c r="B4" s="366" t="s">
        <v>1185</v>
      </c>
      <c r="C4" s="367"/>
      <c r="D4" s="367"/>
      <c r="E4" s="367"/>
      <c r="F4" s="367"/>
      <c r="G4" s="367"/>
      <c r="H4" s="367"/>
      <c r="I4" s="367"/>
      <c r="J4" s="367"/>
      <c r="K4" s="367"/>
      <c r="L4" s="367"/>
    </row>
    <row r="5" spans="1:13" ht="19.5" x14ac:dyDescent="0.3">
      <c r="A5" s="46" t="s">
        <v>488</v>
      </c>
    </row>
    <row r="6" spans="1:13" x14ac:dyDescent="0.25">
      <c r="B6" s="99" t="s">
        <v>1134</v>
      </c>
    </row>
    <row r="7" spans="1:13" x14ac:dyDescent="0.25">
      <c r="B7" s="368" t="s">
        <v>1139</v>
      </c>
      <c r="C7" s="369"/>
      <c r="D7" s="369"/>
      <c r="E7" s="369"/>
      <c r="F7" s="369"/>
      <c r="G7" s="369"/>
      <c r="H7" s="369"/>
      <c r="I7" s="369"/>
      <c r="J7" s="369"/>
      <c r="K7" s="369"/>
      <c r="L7" s="369"/>
    </row>
    <row r="8" spans="1:13" x14ac:dyDescent="0.25">
      <c r="B8" s="242" t="s">
        <v>489</v>
      </c>
    </row>
    <row r="9" spans="1:13" x14ac:dyDescent="0.25">
      <c r="B9" s="252" t="s">
        <v>1140</v>
      </c>
    </row>
    <row r="10" spans="1:13" x14ac:dyDescent="0.25">
      <c r="B10" s="242"/>
    </row>
    <row r="11" spans="1:13" ht="18.75" x14ac:dyDescent="0.3">
      <c r="B11" s="117" t="s">
        <v>1135</v>
      </c>
    </row>
    <row r="12" spans="1:13" x14ac:dyDescent="0.25">
      <c r="B12" s="251" t="s">
        <v>1192</v>
      </c>
      <c r="C12" s="243"/>
      <c r="D12" s="243"/>
      <c r="E12" s="243"/>
      <c r="F12" s="243"/>
      <c r="G12" s="243"/>
      <c r="H12" s="243"/>
      <c r="I12" s="243"/>
      <c r="J12" s="243"/>
      <c r="K12" s="243"/>
      <c r="L12" s="243"/>
    </row>
    <row r="13" spans="1:13" x14ac:dyDescent="0.25">
      <c r="B13" s="251" t="s">
        <v>1138</v>
      </c>
      <c r="C13" s="243"/>
      <c r="D13" s="243"/>
      <c r="E13" s="243"/>
      <c r="F13" s="243"/>
      <c r="G13" s="243"/>
      <c r="H13" s="243"/>
      <c r="I13" s="243"/>
      <c r="J13" s="243"/>
      <c r="K13" s="243"/>
      <c r="L13" s="243"/>
    </row>
    <row r="14" spans="1:13" x14ac:dyDescent="0.25">
      <c r="B14" s="251" t="s">
        <v>1186</v>
      </c>
      <c r="C14" s="243"/>
      <c r="D14" s="243"/>
      <c r="E14" s="243"/>
      <c r="F14" s="243"/>
      <c r="G14" s="243"/>
      <c r="H14" s="243"/>
      <c r="I14" s="243"/>
      <c r="J14" s="243"/>
      <c r="K14" s="243"/>
      <c r="L14" s="243"/>
    </row>
    <row r="15" spans="1:13" x14ac:dyDescent="0.25">
      <c r="B15" s="251" t="s">
        <v>1188</v>
      </c>
      <c r="C15" s="243"/>
      <c r="D15" s="243"/>
      <c r="E15" s="243"/>
      <c r="F15" s="243"/>
      <c r="G15" s="243"/>
      <c r="H15" s="243"/>
      <c r="I15" s="243"/>
      <c r="J15" s="243"/>
      <c r="K15" s="243"/>
      <c r="L15" s="243"/>
    </row>
    <row r="16" spans="1:13" x14ac:dyDescent="0.25">
      <c r="B16" s="242"/>
      <c r="C16" s="244"/>
      <c r="D16" s="244"/>
      <c r="E16" s="244"/>
      <c r="F16" s="244"/>
      <c r="G16" s="244"/>
      <c r="H16" s="244"/>
      <c r="I16" s="244"/>
      <c r="J16" s="244"/>
      <c r="K16" s="244"/>
      <c r="L16" s="244"/>
      <c r="M16" s="244"/>
    </row>
    <row r="17" spans="1:12" ht="18.75" x14ac:dyDescent="0.3">
      <c r="B17" s="117" t="s">
        <v>490</v>
      </c>
    </row>
    <row r="18" spans="1:12" x14ac:dyDescent="0.25">
      <c r="B18" s="251" t="s">
        <v>1191</v>
      </c>
    </row>
    <row r="19" spans="1:12" x14ac:dyDescent="0.25">
      <c r="B19" s="251" t="s">
        <v>1193</v>
      </c>
    </row>
    <row r="20" spans="1:12" x14ac:dyDescent="0.25">
      <c r="B20" s="251" t="s">
        <v>1187</v>
      </c>
    </row>
    <row r="21" spans="1:12" x14ac:dyDescent="0.25">
      <c r="B21" s="251" t="s">
        <v>1188</v>
      </c>
    </row>
    <row r="22" spans="1:12" x14ac:dyDescent="0.25">
      <c r="B22" s="242"/>
    </row>
    <row r="23" spans="1:12" ht="30" customHeight="1" x14ac:dyDescent="0.25">
      <c r="B23" s="370" t="s">
        <v>1189</v>
      </c>
      <c r="C23" s="371"/>
      <c r="D23" s="371"/>
      <c r="E23" s="371"/>
      <c r="F23" s="371"/>
      <c r="G23" s="371"/>
      <c r="H23" s="371"/>
      <c r="I23" s="371"/>
      <c r="J23" s="371"/>
      <c r="K23" s="371"/>
      <c r="L23" s="371"/>
    </row>
    <row r="24" spans="1:12" x14ac:dyDescent="0.25">
      <c r="B24" s="242"/>
    </row>
    <row r="25" spans="1:12" ht="23.25" x14ac:dyDescent="0.35">
      <c r="A25" s="81" t="s">
        <v>1064</v>
      </c>
    </row>
    <row r="26" spans="1:12" ht="19.5" x14ac:dyDescent="0.3">
      <c r="A26" s="46"/>
      <c r="B26" s="364" t="s">
        <v>1190</v>
      </c>
      <c r="C26" s="365"/>
      <c r="D26" s="365"/>
      <c r="E26" s="365"/>
      <c r="F26" s="365"/>
      <c r="G26" s="365"/>
      <c r="H26" s="365"/>
      <c r="I26" s="365"/>
      <c r="J26" s="365"/>
      <c r="K26" s="365"/>
      <c r="L26" s="365"/>
    </row>
    <row r="27" spans="1:12" ht="20.25" thickBot="1" x14ac:dyDescent="0.35">
      <c r="A27" s="46"/>
      <c r="B27" s="365" t="s">
        <v>1136</v>
      </c>
      <c r="C27" s="365"/>
      <c r="D27" s="365"/>
      <c r="E27" s="365"/>
      <c r="F27" s="365"/>
      <c r="G27" s="365"/>
      <c r="H27" s="365"/>
      <c r="I27" s="365"/>
      <c r="J27" s="365"/>
      <c r="K27" s="365"/>
      <c r="L27" s="365"/>
    </row>
    <row r="28" spans="1:12" ht="16.5" thickBot="1" x14ac:dyDescent="0.3">
      <c r="B28" t="s">
        <v>491</v>
      </c>
      <c r="E28" s="43">
        <v>50</v>
      </c>
    </row>
    <row r="29" spans="1:12" ht="36.75" customHeight="1" x14ac:dyDescent="0.3">
      <c r="A29" s="19" t="s">
        <v>1160</v>
      </c>
    </row>
    <row r="30" spans="1:12" x14ac:dyDescent="0.25">
      <c r="B30" s="103" t="s">
        <v>492</v>
      </c>
    </row>
    <row r="31" spans="1:12" x14ac:dyDescent="0.25">
      <c r="B31" t="s">
        <v>270</v>
      </c>
      <c r="C31" t="s">
        <v>493</v>
      </c>
      <c r="D31" t="s">
        <v>494</v>
      </c>
      <c r="E31" t="s">
        <v>495</v>
      </c>
    </row>
    <row r="32" spans="1:12" x14ac:dyDescent="0.25">
      <c r="B32" t="s">
        <v>499</v>
      </c>
      <c r="C32" s="22">
        <f>TestValue</f>
        <v>50</v>
      </c>
      <c r="D32" s="22">
        <f>C32/2</f>
        <v>25</v>
      </c>
      <c r="E32" s="22">
        <f>C32*1.5</f>
        <v>75</v>
      </c>
    </row>
    <row r="33" spans="2:5" x14ac:dyDescent="0.25">
      <c r="B33" t="s">
        <v>500</v>
      </c>
      <c r="C33" s="22">
        <f>C32*0.7</f>
        <v>35</v>
      </c>
      <c r="D33" s="22">
        <v>10</v>
      </c>
      <c r="E33" s="22">
        <f>C33*1.5</f>
        <v>52.5</v>
      </c>
    </row>
    <row r="34" spans="2:5" x14ac:dyDescent="0.25">
      <c r="B34" t="s">
        <v>501</v>
      </c>
      <c r="C34" s="22">
        <f>C33*0.7</f>
        <v>24.5</v>
      </c>
      <c r="D34" s="22">
        <f>C34/2</f>
        <v>12.25</v>
      </c>
      <c r="E34" s="22">
        <f>C34*1.5</f>
        <v>36.75</v>
      </c>
    </row>
    <row r="35" spans="2:5" x14ac:dyDescent="0.25">
      <c r="B35" t="s">
        <v>502</v>
      </c>
      <c r="C35" s="22">
        <f>C34*0.7</f>
        <v>17.149999999999999</v>
      </c>
      <c r="D35" s="22">
        <f>C35/2</f>
        <v>8.5749999999999993</v>
      </c>
      <c r="E35" s="22">
        <f>C35*1.5</f>
        <v>25.724999999999998</v>
      </c>
    </row>
    <row r="67" spans="1:5" ht="17.25" x14ac:dyDescent="0.3">
      <c r="A67" s="19" t="s">
        <v>1175</v>
      </c>
    </row>
    <row r="68" spans="1:5" x14ac:dyDescent="0.25">
      <c r="B68" s="103" t="s">
        <v>1092</v>
      </c>
    </row>
    <row r="69" spans="1:5" x14ac:dyDescent="0.25">
      <c r="B69" t="s">
        <v>270</v>
      </c>
      <c r="C69" t="s">
        <v>493</v>
      </c>
      <c r="D69" t="s">
        <v>494</v>
      </c>
      <c r="E69" t="s">
        <v>495</v>
      </c>
    </row>
    <row r="70" spans="1:5" x14ac:dyDescent="0.25">
      <c r="B70" s="77">
        <f ca="1">B71-1</f>
        <v>45529.415293287035</v>
      </c>
      <c r="C70" s="22">
        <f>TestValue</f>
        <v>50</v>
      </c>
      <c r="D70" s="22">
        <f>C70/2</f>
        <v>25</v>
      </c>
      <c r="E70" s="22">
        <f>r_DateChart[[#This Row],[Series A]]*1.3</f>
        <v>65</v>
      </c>
    </row>
    <row r="71" spans="1:5" x14ac:dyDescent="0.25">
      <c r="B71" s="77">
        <f ca="1">B72-1</f>
        <v>45530.415293287035</v>
      </c>
      <c r="C71" s="22">
        <f>C70*1.1</f>
        <v>55.000000000000007</v>
      </c>
      <c r="D71" s="22">
        <f>D70*1.5</f>
        <v>37.5</v>
      </c>
      <c r="E71" s="22">
        <f>E70*0.8</f>
        <v>52</v>
      </c>
    </row>
    <row r="72" spans="1:5" x14ac:dyDescent="0.25">
      <c r="B72" s="77">
        <f ca="1">B73-1</f>
        <v>45531.415293287035</v>
      </c>
      <c r="C72" s="22">
        <f t="shared" ref="C72:C73" si="0">C71*1.1</f>
        <v>60.500000000000014</v>
      </c>
      <c r="D72" s="22">
        <f t="shared" ref="D72:D73" si="1">D71*1.5</f>
        <v>56.25</v>
      </c>
      <c r="E72" s="22">
        <f t="shared" ref="E72:E73" si="2">E71*0.8</f>
        <v>41.6</v>
      </c>
    </row>
    <row r="73" spans="1:5" x14ac:dyDescent="0.25">
      <c r="B73" s="77">
        <f ca="1">NOW()</f>
        <v>45532.415293287035</v>
      </c>
      <c r="C73" s="22">
        <f t="shared" si="0"/>
        <v>66.550000000000026</v>
      </c>
      <c r="D73" s="22">
        <f t="shared" si="1"/>
        <v>84.375</v>
      </c>
      <c r="E73" s="22">
        <f t="shared" si="2"/>
        <v>33.28</v>
      </c>
    </row>
    <row r="79" spans="1:5" ht="17.25" x14ac:dyDescent="0.3">
      <c r="A79" s="19" t="s">
        <v>496</v>
      </c>
    </row>
    <row r="81" spans="1:11" x14ac:dyDescent="0.25">
      <c r="B81" s="103" t="s">
        <v>497</v>
      </c>
    </row>
    <row r="82" spans="1:11" x14ac:dyDescent="0.25">
      <c r="B82" t="s">
        <v>270</v>
      </c>
      <c r="C82" t="s">
        <v>498</v>
      </c>
    </row>
    <row r="83" spans="1:11" x14ac:dyDescent="0.25">
      <c r="B83" t="s">
        <v>499</v>
      </c>
      <c r="C83" s="22">
        <f>TestValue</f>
        <v>50</v>
      </c>
    </row>
    <row r="84" spans="1:11" x14ac:dyDescent="0.25">
      <c r="B84" t="s">
        <v>500</v>
      </c>
      <c r="C84" s="22">
        <f>C83*0.7</f>
        <v>35</v>
      </c>
    </row>
    <row r="85" spans="1:11" x14ac:dyDescent="0.25">
      <c r="B85" t="s">
        <v>501</v>
      </c>
      <c r="C85" s="22">
        <f>C84*0.7</f>
        <v>24.5</v>
      </c>
    </row>
    <row r="86" spans="1:11" x14ac:dyDescent="0.25">
      <c r="B86" t="s">
        <v>502</v>
      </c>
      <c r="C86" s="22">
        <f>C85*0.7</f>
        <v>17.149999999999999</v>
      </c>
    </row>
    <row r="92" spans="1:11" ht="17.25" x14ac:dyDescent="0.3">
      <c r="A92" s="19" t="s">
        <v>504</v>
      </c>
    </row>
    <row r="93" spans="1:11" x14ac:dyDescent="0.25">
      <c r="B93" t="s">
        <v>1176</v>
      </c>
    </row>
    <row r="94" spans="1:11" x14ac:dyDescent="0.25">
      <c r="B94" s="103" t="s">
        <v>506</v>
      </c>
    </row>
    <row r="95" spans="1:11" x14ac:dyDescent="0.25">
      <c r="B95" t="s">
        <v>507</v>
      </c>
      <c r="C95" t="s">
        <v>510</v>
      </c>
      <c r="I95" s="103" t="s">
        <v>505</v>
      </c>
    </row>
    <row r="96" spans="1:11" x14ac:dyDescent="0.25">
      <c r="B96" s="22">
        <f>TestValue</f>
        <v>50</v>
      </c>
      <c r="C96" s="22">
        <f>D32</f>
        <v>25</v>
      </c>
      <c r="I96" t="s">
        <v>507</v>
      </c>
      <c r="J96" t="s">
        <v>508</v>
      </c>
      <c r="K96" t="s">
        <v>509</v>
      </c>
    </row>
    <row r="97" spans="1:11" x14ac:dyDescent="0.25">
      <c r="B97" s="22">
        <f>B96*0.9</f>
        <v>45</v>
      </c>
      <c r="C97" s="22">
        <f>C96*1.1</f>
        <v>27.500000000000004</v>
      </c>
      <c r="I97" s="22">
        <f>TestValue</f>
        <v>50</v>
      </c>
      <c r="J97" s="22">
        <f>r_Scatter2Series[[#This Row],[X-Values]]*2</f>
        <v>100</v>
      </c>
      <c r="K97" s="22">
        <f>r_Scatter2Series[[#This Row],[X-Values]]*0.75</f>
        <v>37.5</v>
      </c>
    </row>
    <row r="98" spans="1:11" x14ac:dyDescent="0.25">
      <c r="B98" s="22">
        <f>B97*0.9</f>
        <v>40.5</v>
      </c>
      <c r="C98" s="22">
        <f>C97*1.1</f>
        <v>30.250000000000007</v>
      </c>
      <c r="I98" s="22">
        <f>I97*0.9</f>
        <v>45</v>
      </c>
      <c r="J98" s="22">
        <f>J97*1.1</f>
        <v>110.00000000000001</v>
      </c>
      <c r="K98" s="22">
        <f>K97*0.9</f>
        <v>33.75</v>
      </c>
    </row>
    <row r="99" spans="1:11" x14ac:dyDescent="0.25">
      <c r="B99" s="22">
        <f t="shared" ref="B99:B110" si="3">B98*0.9</f>
        <v>36.450000000000003</v>
      </c>
      <c r="C99" s="22">
        <f t="shared" ref="C99:C110" si="4">C98*1.1</f>
        <v>33.275000000000013</v>
      </c>
      <c r="I99" s="22">
        <f>I98*0.9</f>
        <v>40.5</v>
      </c>
      <c r="J99" s="22">
        <f>J98*1.1</f>
        <v>121.00000000000003</v>
      </c>
      <c r="K99" s="22">
        <f>K98*0.9</f>
        <v>30.375</v>
      </c>
    </row>
    <row r="100" spans="1:11" x14ac:dyDescent="0.25">
      <c r="B100" s="22">
        <f t="shared" si="3"/>
        <v>32.805000000000007</v>
      </c>
      <c r="C100" s="22">
        <f t="shared" si="4"/>
        <v>36.60250000000002</v>
      </c>
      <c r="I100" s="22">
        <f>I99*0.9</f>
        <v>36.450000000000003</v>
      </c>
      <c r="J100" s="22">
        <f>J99*1.1</f>
        <v>133.10000000000005</v>
      </c>
      <c r="K100" s="22">
        <f>K99*0.9</f>
        <v>27.337500000000002</v>
      </c>
    </row>
    <row r="101" spans="1:11" x14ac:dyDescent="0.25">
      <c r="B101" s="22">
        <f t="shared" si="3"/>
        <v>29.524500000000007</v>
      </c>
      <c r="C101" s="22">
        <f t="shared" si="4"/>
        <v>40.262750000000025</v>
      </c>
      <c r="I101" s="22">
        <f>I100*0.9</f>
        <v>32.805000000000007</v>
      </c>
      <c r="J101" s="22">
        <f>J100*1.1</f>
        <v>146.41000000000008</v>
      </c>
      <c r="K101" s="22">
        <f>K100*0.9</f>
        <v>24.603750000000002</v>
      </c>
    </row>
    <row r="102" spans="1:11" x14ac:dyDescent="0.25">
      <c r="B102" s="22">
        <f t="shared" si="3"/>
        <v>26.572050000000008</v>
      </c>
      <c r="C102" s="22">
        <f t="shared" si="4"/>
        <v>44.289025000000031</v>
      </c>
    </row>
    <row r="103" spans="1:11" x14ac:dyDescent="0.25">
      <c r="B103" s="22">
        <f t="shared" si="3"/>
        <v>23.914845000000007</v>
      </c>
      <c r="C103" s="22">
        <f t="shared" si="4"/>
        <v>48.717927500000037</v>
      </c>
    </row>
    <row r="104" spans="1:11" x14ac:dyDescent="0.25">
      <c r="B104" s="22">
        <f t="shared" si="3"/>
        <v>21.523360500000006</v>
      </c>
      <c r="C104" s="22">
        <f t="shared" si="4"/>
        <v>53.589720250000049</v>
      </c>
    </row>
    <row r="105" spans="1:11" x14ac:dyDescent="0.25">
      <c r="B105" s="22">
        <f t="shared" si="3"/>
        <v>19.371024450000007</v>
      </c>
      <c r="C105" s="22">
        <f t="shared" si="4"/>
        <v>58.948692275000056</v>
      </c>
    </row>
    <row r="106" spans="1:11" x14ac:dyDescent="0.25">
      <c r="B106" s="22">
        <f t="shared" si="3"/>
        <v>17.433922005000007</v>
      </c>
      <c r="C106" s="22">
        <f t="shared" si="4"/>
        <v>64.843561502500066</v>
      </c>
    </row>
    <row r="107" spans="1:11" x14ac:dyDescent="0.25">
      <c r="B107" s="22">
        <f t="shared" si="3"/>
        <v>15.690529804500006</v>
      </c>
      <c r="C107" s="22">
        <f t="shared" si="4"/>
        <v>71.327917652750074</v>
      </c>
    </row>
    <row r="108" spans="1:11" x14ac:dyDescent="0.25">
      <c r="B108" s="22">
        <f t="shared" si="3"/>
        <v>14.121476824050006</v>
      </c>
      <c r="C108" s="22">
        <f t="shared" si="4"/>
        <v>78.46070941802509</v>
      </c>
    </row>
    <row r="109" spans="1:11" x14ac:dyDescent="0.25">
      <c r="B109" s="22">
        <f t="shared" si="3"/>
        <v>12.709329141645005</v>
      </c>
      <c r="C109" s="22">
        <f t="shared" si="4"/>
        <v>86.306780359827599</v>
      </c>
    </row>
    <row r="110" spans="1:11" x14ac:dyDescent="0.25">
      <c r="B110" s="22">
        <f t="shared" si="3"/>
        <v>11.438396227480505</v>
      </c>
      <c r="C110" s="22">
        <f t="shared" si="4"/>
        <v>94.937458395810367</v>
      </c>
    </row>
    <row r="112" spans="1:11" ht="17.25" x14ac:dyDescent="0.3">
      <c r="A112" s="19" t="s">
        <v>511</v>
      </c>
      <c r="B112" s="112"/>
    </row>
    <row r="113" spans="1:7" x14ac:dyDescent="0.25">
      <c r="B113" s="103" t="s">
        <v>512</v>
      </c>
    </row>
    <row r="114" spans="1:7" x14ac:dyDescent="0.25">
      <c r="B114" t="s">
        <v>270</v>
      </c>
      <c r="C114" t="s">
        <v>513</v>
      </c>
      <c r="D114" t="s">
        <v>514</v>
      </c>
      <c r="E114" t="s">
        <v>515</v>
      </c>
      <c r="F114" t="s">
        <v>516</v>
      </c>
      <c r="G114" t="s">
        <v>517</v>
      </c>
    </row>
    <row r="115" spans="1:7" x14ac:dyDescent="0.25">
      <c r="B115" s="77">
        <f ca="1">NOW()</f>
        <v>45532.415293287035</v>
      </c>
      <c r="C115" s="22">
        <f>TestValue</f>
        <v>50</v>
      </c>
      <c r="D115" s="22">
        <f>C115/5</f>
        <v>10</v>
      </c>
      <c r="E115" s="22">
        <f>G115*1.3</f>
        <v>16.900000000000002</v>
      </c>
      <c r="F115" s="22">
        <f>D115*0.8</f>
        <v>8</v>
      </c>
      <c r="G115" s="22">
        <f>D115+3</f>
        <v>13</v>
      </c>
    </row>
    <row r="116" spans="1:7" x14ac:dyDescent="0.25">
      <c r="B116" s="77">
        <f ca="1">B115+1</f>
        <v>45533.415293287035</v>
      </c>
      <c r="C116" s="22">
        <f>C115*0.9</f>
        <v>45</v>
      </c>
      <c r="D116" s="22">
        <f>G115</f>
        <v>13</v>
      </c>
      <c r="E116" s="22">
        <f>G116*1.3</f>
        <v>20.8</v>
      </c>
      <c r="F116" s="22">
        <f>D116*0.8</f>
        <v>10.4</v>
      </c>
      <c r="G116" s="22">
        <f>D116+3</f>
        <v>16</v>
      </c>
    </row>
    <row r="117" spans="1:7" x14ac:dyDescent="0.25">
      <c r="B117" s="77">
        <f ca="1">B116+1</f>
        <v>45534.415293287035</v>
      </c>
      <c r="C117" s="22">
        <f>C116*0.9</f>
        <v>40.5</v>
      </c>
      <c r="D117" s="22">
        <f>G116</f>
        <v>16</v>
      </c>
      <c r="E117" s="22">
        <f>G117*1.3</f>
        <v>24.7</v>
      </c>
      <c r="F117" s="22">
        <f>D117*0.8</f>
        <v>12.8</v>
      </c>
      <c r="G117" s="22">
        <f>D117+3</f>
        <v>19</v>
      </c>
    </row>
    <row r="118" spans="1:7" x14ac:dyDescent="0.25">
      <c r="B118" s="77">
        <f ca="1">B117+1</f>
        <v>45535.415293287035</v>
      </c>
      <c r="C118" s="22">
        <f>C117*0.9</f>
        <v>36.450000000000003</v>
      </c>
      <c r="D118" s="22">
        <f>G117</f>
        <v>19</v>
      </c>
      <c r="E118" s="22">
        <f>G118*1.3</f>
        <v>28.6</v>
      </c>
      <c r="F118" s="22">
        <f>D118*0.8</f>
        <v>15.200000000000001</v>
      </c>
      <c r="G118" s="22">
        <f>D118+3</f>
        <v>22</v>
      </c>
    </row>
    <row r="119" spans="1:7" x14ac:dyDescent="0.25">
      <c r="B119" s="77">
        <f ca="1">B118+1</f>
        <v>45536.415293287035</v>
      </c>
      <c r="C119" s="22">
        <f>C118*0.9</f>
        <v>32.805000000000007</v>
      </c>
      <c r="D119" s="22">
        <f>G118</f>
        <v>22</v>
      </c>
      <c r="E119" s="22">
        <f>G119*1.3</f>
        <v>32.5</v>
      </c>
      <c r="F119" s="22">
        <f>D119*0.8</f>
        <v>17.600000000000001</v>
      </c>
      <c r="G119" s="22">
        <f>D119+3</f>
        <v>25</v>
      </c>
    </row>
    <row r="125" spans="1:7" ht="17.25" x14ac:dyDescent="0.3">
      <c r="A125" s="19" t="s">
        <v>1093</v>
      </c>
      <c r="C125" s="107" t="s">
        <v>1127</v>
      </c>
    </row>
    <row r="126" spans="1:7" ht="17.25" x14ac:dyDescent="0.3">
      <c r="A126" s="19"/>
      <c r="B126" t="s">
        <v>1194</v>
      </c>
      <c r="C126" s="107"/>
    </row>
    <row r="127" spans="1:7" x14ac:dyDescent="0.25">
      <c r="B127" s="103" t="s">
        <v>1091</v>
      </c>
    </row>
    <row r="128" spans="1:7" x14ac:dyDescent="0.25">
      <c r="B128" t="s">
        <v>1094</v>
      </c>
      <c r="C128" t="s">
        <v>1095</v>
      </c>
      <c r="D128" t="s">
        <v>1096</v>
      </c>
      <c r="E128" t="s">
        <v>51</v>
      </c>
    </row>
    <row r="129" spans="2:5" x14ac:dyDescent="0.25">
      <c r="B129" t="s">
        <v>1066</v>
      </c>
      <c r="C129" t="s">
        <v>1067</v>
      </c>
      <c r="D129" t="s">
        <v>1068</v>
      </c>
      <c r="E129">
        <f>TestValue</f>
        <v>50</v>
      </c>
    </row>
    <row r="130" spans="2:5" x14ac:dyDescent="0.25">
      <c r="B130" t="s">
        <v>1066</v>
      </c>
      <c r="C130" t="s">
        <v>1067</v>
      </c>
      <c r="D130" t="s">
        <v>1069</v>
      </c>
      <c r="E130">
        <v>12</v>
      </c>
    </row>
    <row r="131" spans="2:5" x14ac:dyDescent="0.25">
      <c r="B131" t="s">
        <v>1066</v>
      </c>
      <c r="C131" t="s">
        <v>1067</v>
      </c>
      <c r="D131" t="s">
        <v>1070</v>
      </c>
      <c r="E131">
        <v>18</v>
      </c>
    </row>
    <row r="132" spans="2:5" x14ac:dyDescent="0.25">
      <c r="B132" t="s">
        <v>1066</v>
      </c>
      <c r="C132" t="s">
        <v>1071</v>
      </c>
      <c r="D132" t="s">
        <v>1072</v>
      </c>
      <c r="E132">
        <v>87</v>
      </c>
    </row>
    <row r="133" spans="2:5" x14ac:dyDescent="0.25">
      <c r="B133" t="s">
        <v>1066</v>
      </c>
      <c r="C133" t="s">
        <v>1071</v>
      </c>
      <c r="D133" t="s">
        <v>1073</v>
      </c>
      <c r="E133">
        <v>88</v>
      </c>
    </row>
    <row r="134" spans="2:5" x14ac:dyDescent="0.25">
      <c r="B134" t="s">
        <v>1066</v>
      </c>
      <c r="C134" t="s">
        <v>1074</v>
      </c>
      <c r="E134">
        <v>17</v>
      </c>
    </row>
    <row r="135" spans="2:5" x14ac:dyDescent="0.25">
      <c r="B135" t="s">
        <v>1066</v>
      </c>
      <c r="C135" t="s">
        <v>1075</v>
      </c>
      <c r="E135">
        <v>14</v>
      </c>
    </row>
    <row r="136" spans="2:5" x14ac:dyDescent="0.25">
      <c r="B136" t="s">
        <v>1076</v>
      </c>
      <c r="C136" t="s">
        <v>1077</v>
      </c>
      <c r="D136" t="s">
        <v>1078</v>
      </c>
      <c r="E136">
        <v>25</v>
      </c>
    </row>
    <row r="137" spans="2:5" x14ac:dyDescent="0.25">
      <c r="B137" t="s">
        <v>1076</v>
      </c>
      <c r="C137" t="s">
        <v>1079</v>
      </c>
      <c r="E137">
        <v>16</v>
      </c>
    </row>
    <row r="138" spans="2:5" x14ac:dyDescent="0.25">
      <c r="B138" t="s">
        <v>1076</v>
      </c>
      <c r="C138" t="s">
        <v>1080</v>
      </c>
      <c r="D138" t="s">
        <v>1081</v>
      </c>
      <c r="E138">
        <v>24</v>
      </c>
    </row>
    <row r="139" spans="2:5" x14ac:dyDescent="0.25">
      <c r="B139" t="s">
        <v>1076</v>
      </c>
      <c r="C139" t="s">
        <v>1080</v>
      </c>
      <c r="D139" t="s">
        <v>1082</v>
      </c>
      <c r="E139">
        <v>89</v>
      </c>
    </row>
    <row r="140" spans="2:5" x14ac:dyDescent="0.25">
      <c r="B140" t="s">
        <v>1083</v>
      </c>
      <c r="C140" t="s">
        <v>1084</v>
      </c>
      <c r="D140" t="s">
        <v>1085</v>
      </c>
      <c r="E140">
        <v>16</v>
      </c>
    </row>
    <row r="141" spans="2:5" x14ac:dyDescent="0.25">
      <c r="B141" t="s">
        <v>1083</v>
      </c>
      <c r="C141" t="s">
        <v>1084</v>
      </c>
      <c r="D141" t="s">
        <v>1086</v>
      </c>
      <c r="E141">
        <v>19</v>
      </c>
    </row>
    <row r="142" spans="2:5" x14ac:dyDescent="0.25">
      <c r="B142" t="s">
        <v>1083</v>
      </c>
      <c r="C142" t="s">
        <v>1087</v>
      </c>
      <c r="D142" t="s">
        <v>1088</v>
      </c>
      <c r="E142">
        <v>86</v>
      </c>
    </row>
    <row r="143" spans="2:5" x14ac:dyDescent="0.25">
      <c r="B143" t="s">
        <v>1083</v>
      </c>
      <c r="C143" t="s">
        <v>1087</v>
      </c>
      <c r="D143" t="s">
        <v>1089</v>
      </c>
      <c r="E143">
        <v>23</v>
      </c>
    </row>
    <row r="144" spans="2:5" x14ac:dyDescent="0.25">
      <c r="B144" t="s">
        <v>1083</v>
      </c>
      <c r="C144" t="s">
        <v>1090</v>
      </c>
      <c r="E144">
        <v>21</v>
      </c>
    </row>
    <row r="145" spans="1:5" x14ac:dyDescent="0.25">
      <c r="B145" s="247"/>
      <c r="C145" s="247"/>
      <c r="D145" s="247"/>
      <c r="E145" s="247"/>
    </row>
    <row r="146" spans="1:5" ht="17.25" x14ac:dyDescent="0.3">
      <c r="A146" s="19" t="s">
        <v>1098</v>
      </c>
      <c r="B146" s="247"/>
      <c r="C146" s="249" t="s">
        <v>1128</v>
      </c>
      <c r="D146" s="247"/>
      <c r="E146" s="247"/>
    </row>
    <row r="147" spans="1:5" ht="17.25" x14ac:dyDescent="0.3">
      <c r="A147" s="19"/>
      <c r="B147" t="s">
        <v>1194</v>
      </c>
      <c r="C147" s="107"/>
    </row>
    <row r="148" spans="1:5" x14ac:dyDescent="0.25">
      <c r="B148" s="103" t="s">
        <v>1099</v>
      </c>
      <c r="C148" s="247"/>
      <c r="D148" s="247"/>
      <c r="E148" s="247"/>
    </row>
    <row r="149" spans="1:5" x14ac:dyDescent="0.25">
      <c r="B149" t="s">
        <v>1094</v>
      </c>
      <c r="C149" t="s">
        <v>1095</v>
      </c>
      <c r="D149" t="s">
        <v>1096</v>
      </c>
      <c r="E149" t="s">
        <v>1097</v>
      </c>
    </row>
    <row r="150" spans="1:5" x14ac:dyDescent="0.25">
      <c r="B150" t="s">
        <v>1066</v>
      </c>
      <c r="C150" t="s">
        <v>1067</v>
      </c>
      <c r="D150" t="s">
        <v>1068</v>
      </c>
      <c r="E150" s="105">
        <f>TestValue</f>
        <v>50</v>
      </c>
    </row>
    <row r="151" spans="1:5" x14ac:dyDescent="0.25">
      <c r="B151" t="s">
        <v>1066</v>
      </c>
      <c r="C151" t="s">
        <v>1067</v>
      </c>
      <c r="D151" t="s">
        <v>1069</v>
      </c>
      <c r="E151">
        <v>12</v>
      </c>
    </row>
    <row r="152" spans="1:5" x14ac:dyDescent="0.25">
      <c r="B152" t="s">
        <v>1066</v>
      </c>
      <c r="C152" t="s">
        <v>1067</v>
      </c>
      <c r="D152" t="s">
        <v>1070</v>
      </c>
      <c r="E152">
        <v>18</v>
      </c>
    </row>
    <row r="153" spans="1:5" x14ac:dyDescent="0.25">
      <c r="B153" t="s">
        <v>1066</v>
      </c>
      <c r="C153" t="s">
        <v>1071</v>
      </c>
      <c r="D153" t="s">
        <v>1072</v>
      </c>
      <c r="E153">
        <v>87</v>
      </c>
    </row>
    <row r="154" spans="1:5" x14ac:dyDescent="0.25">
      <c r="B154" t="s">
        <v>1066</v>
      </c>
      <c r="C154" t="s">
        <v>1071</v>
      </c>
      <c r="D154" t="s">
        <v>1073</v>
      </c>
      <c r="E154">
        <v>88</v>
      </c>
    </row>
    <row r="155" spans="1:5" x14ac:dyDescent="0.25">
      <c r="B155" t="s">
        <v>1066</v>
      </c>
      <c r="C155" t="s">
        <v>1071</v>
      </c>
      <c r="D155" t="s">
        <v>1074</v>
      </c>
      <c r="E155">
        <v>17</v>
      </c>
    </row>
    <row r="156" spans="1:5" x14ac:dyDescent="0.25">
      <c r="B156" t="s">
        <v>1066</v>
      </c>
      <c r="C156" t="s">
        <v>1071</v>
      </c>
      <c r="D156" t="s">
        <v>1075</v>
      </c>
      <c r="E156">
        <v>9</v>
      </c>
    </row>
    <row r="157" spans="1:5" x14ac:dyDescent="0.25">
      <c r="B157" t="s">
        <v>1076</v>
      </c>
      <c r="C157" t="s">
        <v>1077</v>
      </c>
      <c r="D157" t="s">
        <v>1078</v>
      </c>
      <c r="E157">
        <v>25</v>
      </c>
    </row>
    <row r="158" spans="1:5" x14ac:dyDescent="0.25">
      <c r="B158" t="s">
        <v>1076</v>
      </c>
      <c r="C158" t="s">
        <v>1077</v>
      </c>
      <c r="D158" t="s">
        <v>1079</v>
      </c>
      <c r="E158">
        <v>23</v>
      </c>
    </row>
    <row r="159" spans="1:5" x14ac:dyDescent="0.25">
      <c r="B159" t="s">
        <v>1076</v>
      </c>
      <c r="C159" t="s">
        <v>1080</v>
      </c>
      <c r="D159" t="s">
        <v>1081</v>
      </c>
      <c r="E159">
        <v>24</v>
      </c>
    </row>
    <row r="160" spans="1:5" x14ac:dyDescent="0.25">
      <c r="B160" t="s">
        <v>1076</v>
      </c>
      <c r="C160" t="s">
        <v>1080</v>
      </c>
      <c r="D160" t="s">
        <v>1082</v>
      </c>
      <c r="E160">
        <v>89</v>
      </c>
    </row>
    <row r="161" spans="1:5" x14ac:dyDescent="0.25">
      <c r="B161" t="s">
        <v>1083</v>
      </c>
      <c r="C161" t="s">
        <v>1084</v>
      </c>
      <c r="D161" t="s">
        <v>1085</v>
      </c>
      <c r="E161">
        <v>16</v>
      </c>
    </row>
    <row r="162" spans="1:5" ht="16.5" thickBot="1" x14ac:dyDescent="0.3">
      <c r="A162" s="102"/>
      <c r="B162" t="s">
        <v>1083</v>
      </c>
      <c r="C162" t="s">
        <v>1084</v>
      </c>
      <c r="D162" t="s">
        <v>1086</v>
      </c>
      <c r="E162">
        <v>19</v>
      </c>
    </row>
    <row r="163" spans="1:5" ht="16.5" thickTop="1" x14ac:dyDescent="0.25">
      <c r="B163" t="s">
        <v>1083</v>
      </c>
      <c r="C163" t="s">
        <v>1087</v>
      </c>
      <c r="D163" t="s">
        <v>1088</v>
      </c>
      <c r="E163">
        <v>86</v>
      </c>
    </row>
    <row r="164" spans="1:5" x14ac:dyDescent="0.25">
      <c r="B164" t="s">
        <v>1083</v>
      </c>
      <c r="C164" t="s">
        <v>1087</v>
      </c>
      <c r="D164" t="s">
        <v>1089</v>
      </c>
      <c r="E164">
        <v>10</v>
      </c>
    </row>
    <row r="165" spans="1:5" x14ac:dyDescent="0.25">
      <c r="B165" t="s">
        <v>1083</v>
      </c>
      <c r="C165" t="s">
        <v>1087</v>
      </c>
      <c r="D165" t="s">
        <v>1090</v>
      </c>
      <c r="E165">
        <v>11</v>
      </c>
    </row>
    <row r="168" spans="1:5" ht="17.25" x14ac:dyDescent="0.3">
      <c r="A168" s="19" t="s">
        <v>1102</v>
      </c>
      <c r="C168" s="107" t="s">
        <v>1129</v>
      </c>
    </row>
    <row r="169" spans="1:5" x14ac:dyDescent="0.25">
      <c r="B169" s="103" t="s">
        <v>1103</v>
      </c>
    </row>
    <row r="170" spans="1:5" x14ac:dyDescent="0.25">
      <c r="B170" t="s">
        <v>55</v>
      </c>
      <c r="C170" t="s">
        <v>1065</v>
      </c>
      <c r="D170" t="s">
        <v>1100</v>
      </c>
      <c r="E170" t="s">
        <v>1101</v>
      </c>
    </row>
    <row r="171" spans="1:5" x14ac:dyDescent="0.25">
      <c r="B171" t="s">
        <v>499</v>
      </c>
      <c r="C171" s="105">
        <f>TestValue</f>
        <v>50</v>
      </c>
      <c r="D171">
        <v>-3</v>
      </c>
      <c r="E171">
        <v>-24</v>
      </c>
    </row>
    <row r="172" spans="1:5" x14ac:dyDescent="0.25">
      <c r="B172" t="s">
        <v>499</v>
      </c>
      <c r="C172">
        <v>-10</v>
      </c>
      <c r="D172">
        <v>1</v>
      </c>
      <c r="E172">
        <v>11</v>
      </c>
    </row>
    <row r="173" spans="1:5" x14ac:dyDescent="0.25">
      <c r="B173" t="s">
        <v>499</v>
      </c>
      <c r="C173">
        <v>-28</v>
      </c>
      <c r="D173">
        <v>-6</v>
      </c>
      <c r="E173">
        <v>34</v>
      </c>
    </row>
    <row r="174" spans="1:5" x14ac:dyDescent="0.25">
      <c r="B174" t="s">
        <v>499</v>
      </c>
      <c r="C174">
        <v>47</v>
      </c>
      <c r="D174">
        <v>10</v>
      </c>
      <c r="E174">
        <v>-19</v>
      </c>
    </row>
    <row r="175" spans="1:5" x14ac:dyDescent="0.25">
      <c r="B175" t="s">
        <v>499</v>
      </c>
      <c r="C175">
        <v>11</v>
      </c>
      <c r="D175">
        <v>34</v>
      </c>
      <c r="E175">
        <v>4</v>
      </c>
    </row>
    <row r="176" spans="1:5" x14ac:dyDescent="0.25">
      <c r="B176" t="s">
        <v>499</v>
      </c>
      <c r="C176">
        <v>-24</v>
      </c>
      <c r="D176">
        <v>128</v>
      </c>
      <c r="E176">
        <v>27</v>
      </c>
    </row>
    <row r="177" spans="2:5" x14ac:dyDescent="0.25">
      <c r="B177" t="s">
        <v>499</v>
      </c>
      <c r="C177">
        <v>-24</v>
      </c>
      <c r="D177">
        <v>22</v>
      </c>
      <c r="E177">
        <v>27</v>
      </c>
    </row>
    <row r="178" spans="2:5" x14ac:dyDescent="0.25">
      <c r="B178" t="s">
        <v>499</v>
      </c>
      <c r="C178">
        <v>36</v>
      </c>
      <c r="D178">
        <v>-12</v>
      </c>
      <c r="E178">
        <v>-3</v>
      </c>
    </row>
    <row r="179" spans="2:5" x14ac:dyDescent="0.25">
      <c r="B179" t="s">
        <v>499</v>
      </c>
      <c r="C179">
        <v>10</v>
      </c>
      <c r="D179">
        <v>-28</v>
      </c>
      <c r="E179">
        <v>44</v>
      </c>
    </row>
    <row r="180" spans="2:5" x14ac:dyDescent="0.25">
      <c r="B180" t="s">
        <v>500</v>
      </c>
      <c r="C180">
        <v>-78</v>
      </c>
      <c r="D180">
        <v>6</v>
      </c>
      <c r="E180">
        <v>50</v>
      </c>
    </row>
    <row r="181" spans="2:5" x14ac:dyDescent="0.25">
      <c r="B181" t="s">
        <v>500</v>
      </c>
      <c r="C181">
        <v>47</v>
      </c>
      <c r="D181">
        <v>31</v>
      </c>
      <c r="E181">
        <v>91</v>
      </c>
    </row>
    <row r="182" spans="2:5" x14ac:dyDescent="0.25">
      <c r="B182" t="s">
        <v>500</v>
      </c>
      <c r="C182">
        <v>-24</v>
      </c>
      <c r="D182">
        <v>3</v>
      </c>
      <c r="E182">
        <v>-8</v>
      </c>
    </row>
    <row r="183" spans="2:5" x14ac:dyDescent="0.25">
      <c r="B183" t="s">
        <v>500</v>
      </c>
      <c r="C183">
        <v>-17</v>
      </c>
      <c r="D183">
        <v>12</v>
      </c>
      <c r="E183">
        <v>36</v>
      </c>
    </row>
    <row r="184" spans="2:5" x14ac:dyDescent="0.25">
      <c r="B184" t="s">
        <v>500</v>
      </c>
      <c r="C184">
        <v>-12</v>
      </c>
      <c r="D184">
        <v>-12</v>
      </c>
      <c r="E184">
        <v>16</v>
      </c>
    </row>
    <row r="185" spans="2:5" x14ac:dyDescent="0.25">
      <c r="B185" t="s">
        <v>500</v>
      </c>
      <c r="C185">
        <v>-11</v>
      </c>
      <c r="D185">
        <v>-13</v>
      </c>
      <c r="E185">
        <v>24</v>
      </c>
    </row>
    <row r="186" spans="2:5" x14ac:dyDescent="0.25">
      <c r="B186" t="s">
        <v>500</v>
      </c>
      <c r="C186">
        <v>17</v>
      </c>
      <c r="D186">
        <v>6</v>
      </c>
      <c r="E186">
        <v>46</v>
      </c>
    </row>
    <row r="187" spans="2:5" x14ac:dyDescent="0.25">
      <c r="B187" t="s">
        <v>501</v>
      </c>
      <c r="C187">
        <v>14</v>
      </c>
      <c r="D187">
        <v>15</v>
      </c>
      <c r="E187">
        <v>14</v>
      </c>
    </row>
    <row r="188" spans="2:5" x14ac:dyDescent="0.25">
      <c r="B188" t="s">
        <v>501</v>
      </c>
      <c r="C188">
        <v>46</v>
      </c>
      <c r="D188">
        <v>41</v>
      </c>
      <c r="E188">
        <v>-6</v>
      </c>
    </row>
    <row r="189" spans="2:5" x14ac:dyDescent="0.25">
      <c r="B189" t="s">
        <v>501</v>
      </c>
      <c r="C189">
        <v>-18</v>
      </c>
      <c r="D189">
        <v>16</v>
      </c>
      <c r="E189">
        <v>48</v>
      </c>
    </row>
    <row r="190" spans="2:5" x14ac:dyDescent="0.25">
      <c r="B190" t="s">
        <v>501</v>
      </c>
      <c r="C190">
        <v>19</v>
      </c>
      <c r="D190">
        <v>10</v>
      </c>
      <c r="E190">
        <v>23</v>
      </c>
    </row>
    <row r="191" spans="2:5" x14ac:dyDescent="0.25">
      <c r="B191" t="s">
        <v>501</v>
      </c>
      <c r="C191">
        <v>-26</v>
      </c>
      <c r="D191">
        <v>23</v>
      </c>
      <c r="E191">
        <v>23</v>
      </c>
    </row>
    <row r="192" spans="2:5" x14ac:dyDescent="0.25">
      <c r="B192" t="s">
        <v>501</v>
      </c>
      <c r="C192">
        <v>-20</v>
      </c>
      <c r="D192">
        <v>16</v>
      </c>
      <c r="E192">
        <v>-18</v>
      </c>
    </row>
    <row r="194" spans="1:3" ht="17.25" x14ac:dyDescent="0.3">
      <c r="A194" s="19" t="s">
        <v>1124</v>
      </c>
      <c r="C194" s="107" t="s">
        <v>1130</v>
      </c>
    </row>
    <row r="195" spans="1:3" x14ac:dyDescent="0.25">
      <c r="B195" t="s">
        <v>1177</v>
      </c>
      <c r="C195" s="107"/>
    </row>
    <row r="196" spans="1:3" x14ac:dyDescent="0.25">
      <c r="B196" t="s">
        <v>1178</v>
      </c>
    </row>
    <row r="197" spans="1:3" x14ac:dyDescent="0.25">
      <c r="B197" s="103" t="s">
        <v>1113</v>
      </c>
    </row>
    <row r="198" spans="1:3" x14ac:dyDescent="0.25">
      <c r="B198" t="s">
        <v>421</v>
      </c>
      <c r="C198" t="s">
        <v>1195</v>
      </c>
    </row>
    <row r="199" spans="1:3" x14ac:dyDescent="0.25">
      <c r="B199" t="s">
        <v>1104</v>
      </c>
      <c r="C199" s="105">
        <f>TestValue</f>
        <v>50</v>
      </c>
    </row>
    <row r="200" spans="1:3" x14ac:dyDescent="0.25">
      <c r="B200" t="s">
        <v>1105</v>
      </c>
      <c r="C200">
        <v>10</v>
      </c>
    </row>
    <row r="201" spans="1:3" x14ac:dyDescent="0.25">
      <c r="B201" t="s">
        <v>1106</v>
      </c>
      <c r="C201">
        <v>7</v>
      </c>
    </row>
    <row r="202" spans="1:3" x14ac:dyDescent="0.25">
      <c r="B202" t="s">
        <v>1107</v>
      </c>
      <c r="C202">
        <v>9</v>
      </c>
    </row>
    <row r="203" spans="1:3" x14ac:dyDescent="0.25">
      <c r="B203" t="s">
        <v>1108</v>
      </c>
      <c r="C203">
        <v>12</v>
      </c>
    </row>
    <row r="204" spans="1:3" x14ac:dyDescent="0.25">
      <c r="B204" t="s">
        <v>661</v>
      </c>
      <c r="C204">
        <v>11</v>
      </c>
    </row>
    <row r="205" spans="1:3" x14ac:dyDescent="0.25">
      <c r="B205" t="s">
        <v>822</v>
      </c>
      <c r="C205">
        <v>8</v>
      </c>
    </row>
    <row r="206" spans="1:3" x14ac:dyDescent="0.25">
      <c r="B206" t="s">
        <v>1109</v>
      </c>
      <c r="C206">
        <v>9</v>
      </c>
    </row>
    <row r="207" spans="1:3" x14ac:dyDescent="0.25">
      <c r="B207" t="s">
        <v>1110</v>
      </c>
      <c r="C207">
        <v>6</v>
      </c>
    </row>
    <row r="208" spans="1:3" x14ac:dyDescent="0.25">
      <c r="B208" t="s">
        <v>753</v>
      </c>
      <c r="C208">
        <v>7</v>
      </c>
    </row>
    <row r="209" spans="1:3" x14ac:dyDescent="0.25">
      <c r="B209" t="s">
        <v>1111</v>
      </c>
      <c r="C209">
        <v>9</v>
      </c>
    </row>
    <row r="210" spans="1:3" x14ac:dyDescent="0.25">
      <c r="B210" t="s">
        <v>1112</v>
      </c>
      <c r="C210">
        <v>11</v>
      </c>
    </row>
    <row r="212" spans="1:3" ht="17.25" x14ac:dyDescent="0.3">
      <c r="A212" s="19" t="s">
        <v>1123</v>
      </c>
      <c r="C212" s="107" t="s">
        <v>1131</v>
      </c>
    </row>
    <row r="213" spans="1:3" x14ac:dyDescent="0.25">
      <c r="B213" s="248" t="s">
        <v>1114</v>
      </c>
    </row>
    <row r="214" spans="1:3" x14ac:dyDescent="0.25">
      <c r="B214" t="s">
        <v>55</v>
      </c>
      <c r="C214" t="s">
        <v>1195</v>
      </c>
    </row>
    <row r="215" spans="1:3" x14ac:dyDescent="0.25">
      <c r="B215" t="s">
        <v>1115</v>
      </c>
      <c r="C215" s="105">
        <f>TestValue</f>
        <v>50</v>
      </c>
    </row>
    <row r="216" spans="1:3" x14ac:dyDescent="0.25">
      <c r="B216" t="s">
        <v>1116</v>
      </c>
      <c r="C216">
        <v>60</v>
      </c>
    </row>
    <row r="217" spans="1:3" x14ac:dyDescent="0.25">
      <c r="B217" t="s">
        <v>1117</v>
      </c>
      <c r="C217">
        <v>50</v>
      </c>
    </row>
    <row r="218" spans="1:3" x14ac:dyDescent="0.25">
      <c r="B218" t="s">
        <v>1118</v>
      </c>
      <c r="C218">
        <v>-40</v>
      </c>
    </row>
    <row r="219" spans="1:3" x14ac:dyDescent="0.25">
      <c r="B219" t="s">
        <v>1119</v>
      </c>
      <c r="C219">
        <f>C215+SUM(C216:C218)</f>
        <v>120</v>
      </c>
    </row>
    <row r="220" spans="1:3" x14ac:dyDescent="0.25">
      <c r="B220" t="s">
        <v>1120</v>
      </c>
      <c r="C220">
        <v>-60</v>
      </c>
    </row>
    <row r="221" spans="1:3" x14ac:dyDescent="0.25">
      <c r="B221" t="s">
        <v>1121</v>
      </c>
      <c r="C221">
        <v>70</v>
      </c>
    </row>
    <row r="222" spans="1:3" x14ac:dyDescent="0.25">
      <c r="B222" t="s">
        <v>1122</v>
      </c>
      <c r="C222">
        <f>C219+SUM(C220:C221)</f>
        <v>130</v>
      </c>
    </row>
    <row r="226" spans="1:3" ht="17.25" x14ac:dyDescent="0.3">
      <c r="A226" s="19" t="s">
        <v>1126</v>
      </c>
      <c r="C226" s="107" t="s">
        <v>1132</v>
      </c>
    </row>
    <row r="227" spans="1:3" x14ac:dyDescent="0.25">
      <c r="B227" s="248" t="s">
        <v>1125</v>
      </c>
    </row>
    <row r="228" spans="1:3" x14ac:dyDescent="0.25">
      <c r="B228" t="s">
        <v>55</v>
      </c>
      <c r="C228" t="s">
        <v>1195</v>
      </c>
    </row>
    <row r="229" spans="1:3" x14ac:dyDescent="0.25">
      <c r="B229" t="s">
        <v>499</v>
      </c>
      <c r="C229">
        <v>5000</v>
      </c>
    </row>
    <row r="230" spans="1:3" x14ac:dyDescent="0.25">
      <c r="B230" t="s">
        <v>500</v>
      </c>
      <c r="C230">
        <v>4000</v>
      </c>
    </row>
    <row r="231" spans="1:3" x14ac:dyDescent="0.25">
      <c r="B231" t="s">
        <v>501</v>
      </c>
      <c r="C231">
        <v>3000</v>
      </c>
    </row>
    <row r="232" spans="1:3" x14ac:dyDescent="0.25">
      <c r="B232" t="s">
        <v>502</v>
      </c>
      <c r="C232">
        <v>1000</v>
      </c>
    </row>
    <row r="233" spans="1:3" x14ac:dyDescent="0.25">
      <c r="B233" t="s">
        <v>503</v>
      </c>
      <c r="C233" s="105">
        <f>TestValue*10</f>
        <v>500</v>
      </c>
    </row>
  </sheetData>
  <mergeCells count="7">
    <mergeCell ref="B2:L2"/>
    <mergeCell ref="B26:L26"/>
    <mergeCell ref="B27:L27"/>
    <mergeCell ref="B4:L4"/>
    <mergeCell ref="B3:L3"/>
    <mergeCell ref="B7:L7"/>
    <mergeCell ref="B23:L23"/>
  </mergeCells>
  <hyperlinks>
    <hyperlink ref="N17" location="Charts!B35" display="PowerPoint Update (See examples below)" xr:uid="{F71FAB66-3BEB-447D-9E82-486E7F22CC4B}"/>
    <hyperlink ref="C125" r:id="rId1" xr:uid="{F89399DF-3287-4A4E-90B8-1178B5DE7ABE}"/>
    <hyperlink ref="C146" r:id="rId2" xr:uid="{2ED263C3-F7A7-40CA-8B39-4AEF8109AAC9}"/>
    <hyperlink ref="C168" r:id="rId3" xr:uid="{282C28C1-9B1B-474E-9059-117A02DA23F6}"/>
    <hyperlink ref="C194" r:id="rId4" xr:uid="{A9719A70-7889-4268-A723-5F8DDACBC7D4}"/>
    <hyperlink ref="C212" r:id="rId5" xr:uid="{5DDDAEE7-5D0A-407E-A00D-E110164B5B3E}"/>
    <hyperlink ref="C226" r:id="rId6" xr:uid="{417C5773-B782-44BF-B06C-3D32F74874E9}"/>
  </hyperlinks>
  <pageMargins left="0.7" right="0.7" top="0.75" bottom="0.75" header="0.3" footer="0.3"/>
  <pageSetup orientation="portrait" r:id="rId7"/>
  <ignoredErrors>
    <ignoredError sqref="C83" calculatedColumn="1"/>
  </ignoredErrors>
  <drawing r:id="rId8"/>
  <tableParts count="12">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CF43F-D9D6-4B33-8194-2CA388BF1A8C}">
  <sheetPr codeName="Sheet7">
    <tabColor theme="5" tint="0.79998168889431442"/>
  </sheetPr>
  <dimension ref="A1:N30"/>
  <sheetViews>
    <sheetView showGridLines="0" workbookViewId="0"/>
  </sheetViews>
  <sheetFormatPr defaultColWidth="8.875" defaultRowHeight="15.75" x14ac:dyDescent="0.25"/>
  <cols>
    <col min="1" max="1" width="4.125" customWidth="1"/>
    <col min="2" max="2" width="10.125" customWidth="1"/>
    <col min="3" max="3" width="13.375" customWidth="1"/>
  </cols>
  <sheetData>
    <row r="1" spans="1:14" ht="31.5" x14ac:dyDescent="0.5">
      <c r="A1" s="65" t="s">
        <v>426</v>
      </c>
    </row>
    <row r="2" spans="1:14" ht="50.25" customHeight="1" x14ac:dyDescent="0.25">
      <c r="B2" s="372" t="s">
        <v>427</v>
      </c>
      <c r="C2" s="372"/>
      <c r="D2" s="372"/>
      <c r="E2" s="372"/>
      <c r="F2" s="372"/>
      <c r="G2" s="372"/>
      <c r="H2" s="372"/>
      <c r="I2" s="372"/>
      <c r="J2" s="372"/>
      <c r="K2" s="372"/>
      <c r="L2" s="372"/>
      <c r="M2" s="372"/>
      <c r="N2" s="372"/>
    </row>
    <row r="3" spans="1:14" ht="19.5" x14ac:dyDescent="0.3">
      <c r="A3" s="46" t="s">
        <v>428</v>
      </c>
      <c r="B3" s="11"/>
      <c r="C3" s="11"/>
      <c r="D3" s="11"/>
      <c r="E3" s="11"/>
      <c r="F3" s="11"/>
      <c r="G3" s="11"/>
      <c r="H3" s="11"/>
      <c r="I3" s="11"/>
      <c r="J3" s="11"/>
      <c r="K3" s="11"/>
      <c r="L3" s="11"/>
    </row>
    <row r="4" spans="1:14" ht="84" customHeight="1" x14ac:dyDescent="0.25">
      <c r="B4" s="342" t="s">
        <v>429</v>
      </c>
      <c r="C4" s="342"/>
      <c r="D4" s="342"/>
      <c r="E4" s="342"/>
      <c r="F4" s="342"/>
      <c r="G4" s="342"/>
      <c r="H4" s="342"/>
      <c r="I4" s="342"/>
      <c r="J4" s="342"/>
      <c r="K4" s="342"/>
      <c r="L4" s="342"/>
      <c r="M4" s="342"/>
      <c r="N4" s="342"/>
    </row>
    <row r="5" spans="1:14" x14ac:dyDescent="0.25">
      <c r="B5" s="11"/>
      <c r="C5" s="11"/>
      <c r="D5" s="11"/>
      <c r="E5" s="11"/>
      <c r="F5" s="11"/>
      <c r="G5" s="11"/>
      <c r="H5" s="11"/>
      <c r="I5" s="11"/>
      <c r="J5" s="11"/>
      <c r="K5" s="11"/>
      <c r="L5" s="11"/>
    </row>
    <row r="6" spans="1:14" x14ac:dyDescent="0.25">
      <c r="B6" s="11"/>
      <c r="C6" s="11"/>
      <c r="D6" s="11"/>
      <c r="E6" s="11"/>
      <c r="F6" s="11"/>
      <c r="G6" s="11"/>
      <c r="H6" s="11"/>
      <c r="I6" s="11"/>
      <c r="J6" s="11"/>
      <c r="K6" s="11"/>
      <c r="L6" s="11"/>
    </row>
    <row r="7" spans="1:14" x14ac:dyDescent="0.25">
      <c r="B7" s="11"/>
      <c r="C7" s="11"/>
      <c r="D7" s="11"/>
      <c r="E7" s="11"/>
      <c r="F7" s="11"/>
      <c r="G7" s="11"/>
      <c r="H7" s="11"/>
      <c r="I7" s="11"/>
      <c r="J7" s="11"/>
      <c r="K7" s="11"/>
      <c r="L7" s="11"/>
    </row>
    <row r="8" spans="1:14" x14ac:dyDescent="0.25">
      <c r="B8" s="11"/>
      <c r="C8" s="11"/>
      <c r="D8" s="11"/>
      <c r="E8" s="11"/>
      <c r="F8" s="11"/>
      <c r="G8" s="11"/>
      <c r="H8" s="11"/>
      <c r="I8" s="11"/>
      <c r="J8" s="11"/>
      <c r="K8" s="11"/>
      <c r="L8" s="11"/>
    </row>
    <row r="9" spans="1:14" ht="33" customHeight="1" x14ac:dyDescent="0.25">
      <c r="B9" s="11"/>
      <c r="C9" s="11"/>
      <c r="D9" s="11"/>
      <c r="E9" s="11"/>
      <c r="F9" s="11"/>
      <c r="G9" s="11"/>
      <c r="H9" s="11"/>
      <c r="I9" s="11"/>
      <c r="J9" s="11"/>
      <c r="K9" s="11"/>
      <c r="L9" s="11"/>
    </row>
    <row r="10" spans="1:14" x14ac:dyDescent="0.25">
      <c r="B10" s="11"/>
      <c r="C10" s="11"/>
      <c r="D10" s="11"/>
      <c r="E10" s="11"/>
      <c r="F10" s="11"/>
      <c r="G10" s="11"/>
      <c r="H10" s="11"/>
      <c r="I10" s="11"/>
      <c r="J10" s="11"/>
      <c r="K10" s="11"/>
      <c r="L10" s="11"/>
    </row>
    <row r="11" spans="1:14" x14ac:dyDescent="0.25">
      <c r="B11" s="11"/>
      <c r="C11" s="11"/>
      <c r="D11" s="11"/>
      <c r="E11" s="11"/>
      <c r="F11" s="11"/>
      <c r="G11" s="11"/>
      <c r="H11" s="11"/>
      <c r="I11" s="11"/>
      <c r="J11" s="11"/>
      <c r="K11" s="11"/>
      <c r="L11" s="11"/>
    </row>
    <row r="12" spans="1:14" x14ac:dyDescent="0.25">
      <c r="B12" s="53" t="s">
        <v>430</v>
      </c>
      <c r="C12" s="11"/>
      <c r="D12" s="11"/>
      <c r="E12" s="11"/>
      <c r="F12" s="11"/>
      <c r="G12" s="11"/>
      <c r="H12" s="11"/>
      <c r="I12" s="11"/>
      <c r="J12" s="11"/>
      <c r="K12" s="11"/>
      <c r="L12" s="11"/>
    </row>
    <row r="13" spans="1:14" ht="19.5" x14ac:dyDescent="0.3">
      <c r="A13" s="46" t="s">
        <v>431</v>
      </c>
      <c r="B13" s="11"/>
      <c r="C13" s="11"/>
      <c r="D13" s="11"/>
      <c r="E13" s="11"/>
      <c r="F13" s="11"/>
      <c r="G13" s="11"/>
      <c r="H13" s="11"/>
      <c r="I13" s="11"/>
      <c r="J13" s="11"/>
      <c r="K13" s="11"/>
      <c r="L13" s="11"/>
    </row>
    <row r="14" spans="1:14" ht="59.25" customHeight="1" thickBot="1" x14ac:dyDescent="0.35">
      <c r="A14" s="46"/>
      <c r="B14" s="342" t="s">
        <v>432</v>
      </c>
      <c r="C14" s="342"/>
      <c r="D14" s="342"/>
      <c r="E14" s="342"/>
      <c r="F14" s="342"/>
      <c r="G14" s="342"/>
      <c r="H14" s="342"/>
      <c r="I14" s="342"/>
      <c r="J14" s="342"/>
      <c r="K14" s="342"/>
      <c r="L14" s="342"/>
      <c r="M14" s="342"/>
      <c r="N14" s="342"/>
    </row>
    <row r="15" spans="1:14" ht="16.5" thickBot="1" x14ac:dyDescent="0.3">
      <c r="C15" t="s">
        <v>433</v>
      </c>
      <c r="D15" s="59">
        <v>0.7</v>
      </c>
    </row>
    <row r="16" spans="1:14" x14ac:dyDescent="0.25">
      <c r="C16" t="s">
        <v>434</v>
      </c>
      <c r="D16" t="str">
        <f>C15&amp;TEXT(D15,"0%")</f>
        <v>Growth Rate:  70%</v>
      </c>
    </row>
    <row r="17" spans="1:5" ht="11.25" customHeight="1" thickBot="1" x14ac:dyDescent="0.3"/>
    <row r="18" spans="1:5" ht="32.25" thickBot="1" x14ac:dyDescent="0.3">
      <c r="B18" s="32" t="s">
        <v>435</v>
      </c>
      <c r="C18" s="32" t="s">
        <v>436</v>
      </c>
      <c r="E18" s="53" t="s">
        <v>437</v>
      </c>
    </row>
    <row r="19" spans="1:5" x14ac:dyDescent="0.25">
      <c r="B19" s="111">
        <f ca="1">B20-1</f>
        <v>45528</v>
      </c>
      <c r="C19" s="60">
        <v>100000000</v>
      </c>
    </row>
    <row r="20" spans="1:5" x14ac:dyDescent="0.25">
      <c r="B20" s="111">
        <f ca="1">B21-1</f>
        <v>45529</v>
      </c>
      <c r="C20" s="60">
        <f>C19*(1+$D$15)</f>
        <v>170000000</v>
      </c>
    </row>
    <row r="21" spans="1:5" x14ac:dyDescent="0.25">
      <c r="B21" s="111">
        <f ca="1">B22-1</f>
        <v>45530</v>
      </c>
      <c r="C21" s="60">
        <f>C20*(1+$D$15)</f>
        <v>289000000</v>
      </c>
    </row>
    <row r="22" spans="1:5" x14ac:dyDescent="0.25">
      <c r="B22" s="111">
        <f ca="1">B23-1</f>
        <v>45531</v>
      </c>
      <c r="C22" s="60">
        <f>C21*(1+$D$15)</f>
        <v>491300000</v>
      </c>
    </row>
    <row r="23" spans="1:5" x14ac:dyDescent="0.25">
      <c r="B23" s="111">
        <f ca="1">TODAY()</f>
        <v>45532</v>
      </c>
      <c r="C23" s="60">
        <f>C22*(1+$D$15)</f>
        <v>835210000</v>
      </c>
    </row>
    <row r="24" spans="1:5" x14ac:dyDescent="0.25">
      <c r="C24" s="58"/>
    </row>
    <row r="26" spans="1:5" x14ac:dyDescent="0.25">
      <c r="C26" s="58"/>
    </row>
    <row r="27" spans="1:5" x14ac:dyDescent="0.25">
      <c r="C27" s="58"/>
    </row>
    <row r="28" spans="1:5" x14ac:dyDescent="0.25">
      <c r="C28" s="58"/>
    </row>
    <row r="29" spans="1:5" ht="19.5" x14ac:dyDescent="0.3">
      <c r="A29" s="46"/>
      <c r="C29" s="58"/>
    </row>
    <row r="30" spans="1:5" x14ac:dyDescent="0.25">
      <c r="B30" s="63"/>
      <c r="C30" s="62"/>
    </row>
  </sheetData>
  <mergeCells count="3">
    <mergeCell ref="B4:N4"/>
    <mergeCell ref="B2:N2"/>
    <mergeCell ref="B14:N14"/>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54CFB8EE2730499D5FB67EC9F8C370" ma:contentTypeVersion="11" ma:contentTypeDescription="Create a new document." ma:contentTypeScope="" ma:versionID="c19156349d7f720e4f07b9120c304a43">
  <xsd:schema xmlns:xsd="http://www.w3.org/2001/XMLSchema" xmlns:xs="http://www.w3.org/2001/XMLSchema" xmlns:p="http://schemas.microsoft.com/office/2006/metadata/properties" xmlns:ns2="7726ac31-f3e7-4b8c-8a8c-eb637c48d917" xmlns:ns3="fc55d401-0dfe-4961-b762-8e7ad992ca9a" targetNamespace="http://schemas.microsoft.com/office/2006/metadata/properties" ma:root="true" ma:fieldsID="ecb693baf6a72fa2564f80709e765756" ns2:_="" ns3:_="">
    <xsd:import namespace="7726ac31-f3e7-4b8c-8a8c-eb637c48d917"/>
    <xsd:import namespace="fc55d401-0dfe-4961-b762-8e7ad992ca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26ac31-f3e7-4b8c-8a8c-eb637c48d9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631e276-8d20-40ae-8470-a2aa42a0d73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55d401-0dfe-4961-b762-8e7ad992ca9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0cf5d68-8e8f-455f-a63a-78530c69db4f}" ma:internalName="TaxCatchAll" ma:showField="CatchAllData" ma:web="fc55d401-0dfe-4961-b762-8e7ad992ca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726ac31-f3e7-4b8c-8a8c-eb637c48d917">
      <Terms xmlns="http://schemas.microsoft.com/office/infopath/2007/PartnerControls"/>
    </lcf76f155ced4ddcb4097134ff3c332f>
    <TaxCatchAll xmlns="fc55d401-0dfe-4961-b762-8e7ad992ca9a" xsi:nil="true"/>
  </documentManagement>
</p:properties>
</file>

<file path=customXml/itemProps1.xml><?xml version="1.0" encoding="utf-8"?>
<ds:datastoreItem xmlns:ds="http://schemas.openxmlformats.org/officeDocument/2006/customXml" ds:itemID="{8BBF2E04-576A-4F0D-9C74-29BB50DB8311}"/>
</file>

<file path=customXml/itemProps2.xml><?xml version="1.0" encoding="utf-8"?>
<ds:datastoreItem xmlns:ds="http://schemas.openxmlformats.org/officeDocument/2006/customXml" ds:itemID="{92BCC821-24FF-4E14-8C0E-3A89B8683C2A}"/>
</file>

<file path=customXml/itemProps3.xml><?xml version="1.0" encoding="utf-8"?>
<ds:datastoreItem xmlns:ds="http://schemas.openxmlformats.org/officeDocument/2006/customXml" ds:itemID="{B1B92BD9-0EDA-4683-B591-15A6045B40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80</vt:i4>
      </vt:variant>
    </vt:vector>
  </HeadingPairs>
  <TitlesOfParts>
    <vt:vector size="101" baseType="lpstr">
      <vt:lpstr>QuickStart</vt:lpstr>
      <vt:lpstr>Features</vt:lpstr>
      <vt:lpstr>Text &amp; Lists</vt:lpstr>
      <vt:lpstr>Tables</vt:lpstr>
      <vt:lpstr>Dest</vt:lpstr>
      <vt:lpstr>Flex</vt:lpstr>
      <vt:lpstr>Image</vt:lpstr>
      <vt:lpstr>Charts</vt:lpstr>
      <vt:lpstr>Chart Img</vt:lpstr>
      <vt:lpstr>Pivot</vt:lpstr>
      <vt:lpstr>Shapes</vt:lpstr>
      <vt:lpstr>Sel Img</vt:lpstr>
      <vt:lpstr>HTML</vt:lpstr>
      <vt:lpstr>Conditional Content</vt:lpstr>
      <vt:lpstr>Auto-Hide</vt:lpstr>
      <vt:lpstr>E2E</vt:lpstr>
      <vt:lpstr>Mail Merge</vt:lpstr>
      <vt:lpstr>Conditional Submit</vt:lpstr>
      <vt:lpstr>Currency</vt:lpstr>
      <vt:lpstr>Language</vt:lpstr>
      <vt:lpstr>Misc</vt:lpstr>
      <vt:lpstr>CountryList</vt:lpstr>
      <vt:lpstr>CurrencyIndex</vt:lpstr>
      <vt:lpstr>CustomerList</vt:lpstr>
      <vt:lpstr>delete_AppendixA</vt:lpstr>
      <vt:lpstr>delete_AppendixB</vt:lpstr>
      <vt:lpstr>delete_CaseStudyA</vt:lpstr>
      <vt:lpstr>delete_CaseStudyB</vt:lpstr>
      <vt:lpstr>delete_CostAnalysis</vt:lpstr>
      <vt:lpstr>delete_FinancialAnalysis</vt:lpstr>
      <vt:lpstr>delete_SectionName</vt:lpstr>
      <vt:lpstr>ExchangeRate</vt:lpstr>
      <vt:lpstr>HideCol_SheetA</vt:lpstr>
      <vt:lpstr>HideRow_SheetA</vt:lpstr>
      <vt:lpstr>ImageIndex</vt:lpstr>
      <vt:lpstr>Images</vt:lpstr>
      <vt:lpstr>in_E2E_CustomerName</vt:lpstr>
      <vt:lpstr>in_E2E_Range</vt:lpstr>
      <vt:lpstr>LangCurrencyFormat</vt:lpstr>
      <vt:lpstr>LangExchangeRate</vt:lpstr>
      <vt:lpstr>PerfText</vt:lpstr>
      <vt:lpstr>r_AutoHideExample</vt:lpstr>
      <vt:lpstr>r_AutoHideExampleFlex</vt:lpstr>
      <vt:lpstr>r_ClientName</vt:lpstr>
      <vt:lpstr>r_CommonCharts</vt:lpstr>
      <vt:lpstr>r_CountryFlag</vt:lpstr>
      <vt:lpstr>r_CurrencyNet</vt:lpstr>
      <vt:lpstr>r_CurrencyTable</vt:lpstr>
      <vt:lpstr>r_CustomerName</vt:lpstr>
      <vt:lpstr>r_E2E_CustomerName</vt:lpstr>
      <vt:lpstr>r_E2E_Range</vt:lpstr>
      <vt:lpstr>r_Financials</vt:lpstr>
      <vt:lpstr>r_Flag_img</vt:lpstr>
      <vt:lpstr>r_FlexHTML</vt:lpstr>
      <vt:lpstr>r_footer</vt:lpstr>
      <vt:lpstr>r_image_html</vt:lpstr>
      <vt:lpstr>r_ImageFromFormula_html</vt:lpstr>
      <vt:lpstr>r_IncomeStatement</vt:lpstr>
      <vt:lpstr>r_lang_paragraph</vt:lpstr>
      <vt:lpstr>r_lang_table</vt:lpstr>
      <vt:lpstr>r_lang_title</vt:lpstr>
      <vt:lpstr>r_lists_html</vt:lpstr>
      <vt:lpstr>r_MergeTable</vt:lpstr>
      <vt:lpstr>r_MergeText</vt:lpstr>
      <vt:lpstr>r_NamedRange</vt:lpstr>
      <vt:lpstr>r_Range_Img</vt:lpstr>
      <vt:lpstr>r_RangeImage_img</vt:lpstr>
      <vt:lpstr>r_ROISumTable</vt:lpstr>
      <vt:lpstr>r_ROISumTableFlex</vt:lpstr>
      <vt:lpstr>r_savingsText</vt:lpstr>
      <vt:lpstr>r_SelectedPicture_img</vt:lpstr>
      <vt:lpstr>r_Shape_img</vt:lpstr>
      <vt:lpstr>r_StockChart</vt:lpstr>
      <vt:lpstr>r_Sunburst</vt:lpstr>
      <vt:lpstr>r_TableComparison</vt:lpstr>
      <vt:lpstr>r_text_html</vt:lpstr>
      <vt:lpstr>r_textSection1</vt:lpstr>
      <vt:lpstr>r_textSection2</vt:lpstr>
      <vt:lpstr>r_textSection3</vt:lpstr>
      <vt:lpstr>r_TextSummary</vt:lpstr>
      <vt:lpstr>r_textTitle1</vt:lpstr>
      <vt:lpstr>r_textTitle2</vt:lpstr>
      <vt:lpstr>r_textTitle3</vt:lpstr>
      <vt:lpstr>r_TitlesInColumns</vt:lpstr>
      <vt:lpstr>rBenAnn</vt:lpstr>
      <vt:lpstr>rBenOT</vt:lpstr>
      <vt:lpstr>rBenTotal</vt:lpstr>
      <vt:lpstr>rCostsAnn</vt:lpstr>
      <vt:lpstr>rCostsOT</vt:lpstr>
      <vt:lpstr>rCostsTotal</vt:lpstr>
      <vt:lpstr>rNetBen</vt:lpstr>
      <vt:lpstr>rROI</vt:lpstr>
      <vt:lpstr>Scenario</vt:lpstr>
      <vt:lpstr>SeparatorDec</vt:lpstr>
      <vt:lpstr>SeparatorThou</vt:lpstr>
      <vt:lpstr>SubmitContentPrefix</vt:lpstr>
      <vt:lpstr>TestValue</vt:lpstr>
      <vt:lpstr>TextFormatCurr</vt:lpstr>
      <vt:lpstr>TextFormatNum</vt:lpstr>
      <vt:lpstr>Users</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Hall</dc:creator>
  <cp:keywords/>
  <dc:description/>
  <cp:lastModifiedBy>Julie Hall</cp:lastModifiedBy>
  <cp:revision/>
  <dcterms:created xsi:type="dcterms:W3CDTF">2019-01-15T19:59:15Z</dcterms:created>
  <dcterms:modified xsi:type="dcterms:W3CDTF">2024-08-28T13:58:01Z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ploadSheetOnlyDefault">
    <vt:lpwstr>This Sheet Only</vt:lpwstr>
  </property>
  <property fmtid="{D5CDD505-2E9C-101B-9397-08002B2CF9AE}" pid="3" name="MediaServiceImageTags">
    <vt:lpwstr/>
  </property>
  <property fmtid="{D5CDD505-2E9C-101B-9397-08002B2CF9AE}" pid="4" name="ContentTypeId">
    <vt:lpwstr>0x0101005154CFB8EE2730499D5FB67EC9F8C370</vt:lpwstr>
  </property>
</Properties>
</file>