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drawings/drawing3.xml" ContentType="application/vnd.openxmlformats-officedocument.drawingml.chartshapes+xml"/>
  <Override PartName="/xl/drawings/drawing12.xml" ContentType="application/vnd.openxmlformats-officedocument.drawingml.chartshapes+xml"/>
  <Override PartName="/xl/drawings/drawing10.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drawings/drawing9.xml" ContentType="application/vnd.openxmlformats-officedocument.drawing+xml"/>
  <Override PartName="/xl/charts/chart26.xml" ContentType="application/vnd.openxmlformats-officedocument.drawingml.chart+xml"/>
  <Override PartName="/xl/worksheets/sheet3.xml" ContentType="application/vnd.openxmlformats-officedocument.spreadsheetml.worksheet+xml"/>
  <Override PartName="/xl/charts/chart27.xml" ContentType="application/vnd.openxmlformats-officedocument.drawingml.chart+xml"/>
  <Override PartName="/xl/drawings/drawing11.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25.xml" ContentType="application/vnd.openxmlformats-officedocument.drawingml.chart+xml"/>
  <Override PartName="/xl/drawings/drawing8.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worksheets/sheet1.xml" ContentType="application/vnd.openxmlformats-officedocument.spreadsheetml.workshee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worksheets/sheet2.xml" ContentType="application/vnd.openxmlformats-officedocument.spreadsheetml.workshee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16.xml" ContentType="application/vnd.openxmlformats-officedocument.drawingml.char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drawings/drawing7.xml" ContentType="application/vnd.openxmlformats-officedocument.drawing+xml"/>
  <Override PartName="/xl/worksheets/sheet4.xml" ContentType="application/vnd.openxmlformats-officedocument.spreadsheetml.worksheet+xml"/>
  <Override PartName="/xl/charts/chart3.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harts/chart15.xml" ContentType="application/vnd.openxmlformats-officedocument.drawingml.chart+xml"/>
  <Override PartName="/xl/charts/chart9.xml" ContentType="application/vnd.openxmlformats-officedocument.drawingml.chart+xml"/>
  <Override PartName="/xl/charts/chart8.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webextensions/taskpanes.xml" ContentType="application/vnd.ms-office.webextensiontaskpanes+xml"/>
  <Override PartName="/xl/webextensions/webextension1.xml" ContentType="application/vnd.ms-office.webextensio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11/relationships/webextensiontaskpanes" Target="xl/webextensions/taskpanes.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12"/>
  <workbookPr codeName="ThisWorkbook" defaultThemeVersion="124226"/>
  <mc:AlternateContent xmlns:mc="http://schemas.openxmlformats.org/markup-compatibility/2006">
    <mc:Choice Requires="x15">
      <x15ac:absPath xmlns:x15ac="http://schemas.microsoft.com/office/spreadsheetml/2010/11/ac" url="https://d.docs.live.net/e9a1b19ccfdda475/Add-Ins/Templates-Public/IT Project ROI Tool/"/>
    </mc:Choice>
  </mc:AlternateContent>
  <xr:revisionPtr revIDLastSave="2" documentId="8_{9E60415C-6314-4559-9CD6-A4C40CD45106}" xr6:coauthVersionLast="34" xr6:coauthVersionMax="34" xr10:uidLastSave="{AC5825D8-25CC-42B7-B31D-9EE0EC7CDE16}"/>
  <bookViews>
    <workbookView xWindow="0" yWindow="0" windowWidth="4320" windowHeight="1230" tabRatio="781" xr2:uid="{00000000-000D-0000-FFFF-FFFF00000000}"/>
  </bookViews>
  <sheets>
    <sheet name="Welcome" sheetId="14" r:id="rId1"/>
    <sheet name="Profile" sheetId="7" r:id="rId2"/>
    <sheet name="Solution" sheetId="61" r:id="rId3"/>
    <sheet name="Costs" sheetId="32" r:id="rId4"/>
    <sheet name="TCO" sheetId="65" r:id="rId5"/>
    <sheet name="Direct Savings" sheetId="21" r:id="rId6"/>
    <sheet name="Productivity" sheetId="51" r:id="rId7"/>
    <sheet name="Revenue" sheetId="55" r:id="rId8"/>
    <sheet name="KPIs" sheetId="52" r:id="rId9"/>
    <sheet name="ROI" sheetId="60" r:id="rId10"/>
    <sheet name="Refrc" sheetId="58" state="hidden" r:id="rId11"/>
    <sheet name="Test" sheetId="54" state="hidden" r:id="rId12"/>
    <sheet name="Rpt Cntnt" sheetId="81" r:id="rId13"/>
  </sheets>
  <externalReferences>
    <externalReference r:id="rId14"/>
    <externalReference r:id="rId15"/>
    <externalReference r:id="rId16"/>
  </externalReferences>
  <definedNames>
    <definedName name="_dB1" hidden="1">Test!$A$1:$D$197</definedName>
    <definedName name="_dB2" hidden="1">Test!$E$128:$AH$197</definedName>
    <definedName name="_dRef1" hidden="1">Refrc!$A$1:$A$293</definedName>
    <definedName name="_dRef2" hidden="1">Refrc!$B$2:$B$59,Refrc!$C$5:$I$5,Refrc!$E$45:$J$45,Refrc!$C$23:$F$23</definedName>
    <definedName name="_dRef3" hidden="1">Refrc!$D$62:$AI$63</definedName>
    <definedName name="_dRef4" hidden="1">Refrc!$C$103:$M$104,Refrc!$B$117:$M$118</definedName>
    <definedName name="_dRef6" hidden="1">Refrc!$B$176:$B$177,Refrc!$C$175:$H$175,Refrc!$B$181:$C$181,Refrc!$B$182:$B$185,Refrc!$B$188:$B$196,Refrc!$C$190:$H$190,Refrc!$B$200:$B$201,Refrc!$B$203:$H$203,Refrc!$B$204:$B$214,Refrc!$B$216:$C$216,Refrc!$B$222,Refrc!$B$224:$B$230,Refrc!$C$224:$D$224,Refrc!$B$232:$C$232,Refrc!$B$258:$H$259,Refrc!$C$266:$F$266,Refrc!$B$267:$B$271</definedName>
    <definedName name="_m1000" hidden="1">Costs!$D$83</definedName>
    <definedName name="_m1001" hidden="1">Costs!$E$83</definedName>
    <definedName name="_m1002" hidden="1">Costs!$F$83</definedName>
    <definedName name="_m1003" hidden="1">Costs!$G$83</definedName>
    <definedName name="_m1004" hidden="1">Costs!$I$83</definedName>
    <definedName name="_m1005" hidden="1">Costs!$C$84</definedName>
    <definedName name="_m1006" hidden="1">Costs!$D$84</definedName>
    <definedName name="_m1007" hidden="1">Costs!$E$84</definedName>
    <definedName name="_m1008" hidden="1">Costs!$F$84</definedName>
    <definedName name="_m1009" hidden="1">Costs!$G$84</definedName>
    <definedName name="_m1010" hidden="1">Costs!$I$84</definedName>
    <definedName name="_m1011" hidden="1">Costs!$C$85</definedName>
    <definedName name="_m1012" hidden="1">Costs!$D$85</definedName>
    <definedName name="_m1013" hidden="1">Costs!$E$85</definedName>
    <definedName name="_m1014" hidden="1">Costs!$F$85</definedName>
    <definedName name="_m1015" hidden="1">Costs!$G$85</definedName>
    <definedName name="_m1016" hidden="1">Costs!$I$85</definedName>
    <definedName name="_m1017" hidden="1">Costs!$C$88</definedName>
    <definedName name="_m1018" hidden="1">Costs!$D$88</definedName>
    <definedName name="_m1019" hidden="1">Costs!$E$88</definedName>
    <definedName name="_m1020" hidden="1">Costs!$F$88</definedName>
    <definedName name="_m1021" hidden="1">Costs!$G$88</definedName>
    <definedName name="_m1022" hidden="1">Costs!$I$88</definedName>
    <definedName name="_m1023" hidden="1">Costs!$C$89</definedName>
    <definedName name="_m1024" hidden="1">Costs!$D$89</definedName>
    <definedName name="_m1025" hidden="1">Costs!$E$89</definedName>
    <definedName name="_m1026" hidden="1">Costs!$F$89</definedName>
    <definedName name="_m1027" hidden="1">Costs!$G$89</definedName>
    <definedName name="_m1028" hidden="1">Costs!$I$89</definedName>
    <definedName name="_m1029" hidden="1">Costs!$C$90</definedName>
    <definedName name="_m1030" hidden="1">Costs!$D$90</definedName>
    <definedName name="_m1031" hidden="1">Costs!$E$90</definedName>
    <definedName name="_m1032" hidden="1">Costs!$F$90</definedName>
    <definedName name="_m1033" hidden="1">Costs!$G$90</definedName>
    <definedName name="_m1034" hidden="1">Costs!$I$90</definedName>
    <definedName name="_m1035" hidden="1">Costs!$C$91</definedName>
    <definedName name="_m1036" hidden="1">Costs!$D$91</definedName>
    <definedName name="_m1037" hidden="1">Costs!$E$91</definedName>
    <definedName name="_m1038" hidden="1">Costs!$F$91</definedName>
    <definedName name="_m1039" hidden="1">Costs!$G$91</definedName>
    <definedName name="_m1040" hidden="1">Costs!$I$91</definedName>
    <definedName name="_m1041" hidden="1">Costs!$C$99</definedName>
    <definedName name="_m1042" hidden="1">Costs!$E$99</definedName>
    <definedName name="_m1043" hidden="1">Costs!$F$99</definedName>
    <definedName name="_m1044" hidden="1">Costs!$G$99</definedName>
    <definedName name="_m1045" hidden="1">Costs!$I$99</definedName>
    <definedName name="_m1046" hidden="1">Costs!$C$100</definedName>
    <definedName name="_m1047" hidden="1">Costs!$E$100</definedName>
    <definedName name="_m1048" hidden="1">Costs!$F$100</definedName>
    <definedName name="_m1049" hidden="1">Costs!$G$100</definedName>
    <definedName name="_m1050" hidden="1">Costs!$I$100</definedName>
    <definedName name="_m1051" hidden="1">Costs!$C$101</definedName>
    <definedName name="_m1052" hidden="1">Costs!$E$101</definedName>
    <definedName name="_m1053" hidden="1">Costs!$F$101</definedName>
    <definedName name="_m1054" hidden="1">Costs!$G$101</definedName>
    <definedName name="_m1055" hidden="1">Costs!$I$101</definedName>
    <definedName name="_m1056" hidden="1">Costs!$C$102</definedName>
    <definedName name="_m1057" hidden="1">Costs!$E$102</definedName>
    <definedName name="_m1058" hidden="1">Costs!$F$102</definedName>
    <definedName name="_m1059" hidden="1">Costs!$G$102</definedName>
    <definedName name="_m1060" hidden="1">Costs!$I$102</definedName>
    <definedName name="_m1061" hidden="1">Costs!$C$103</definedName>
    <definedName name="_m1062" hidden="1">Costs!$E$103</definedName>
    <definedName name="_m1063" hidden="1">Costs!$F$103</definedName>
    <definedName name="_m1064" hidden="1">Costs!$G$103</definedName>
    <definedName name="_m1065" hidden="1">Costs!$I$103</definedName>
    <definedName name="_m1066" hidden="1">Costs!$C$106</definedName>
    <definedName name="_m1067" hidden="1">Costs!$E$106</definedName>
    <definedName name="_m1068" hidden="1">Costs!$F$106</definedName>
    <definedName name="_m1069" hidden="1">Costs!$G$106</definedName>
    <definedName name="_m1070" hidden="1">Costs!$I$106</definedName>
    <definedName name="_m1071" hidden="1">Costs!$C$107</definedName>
    <definedName name="_m1072" hidden="1">Costs!$E$107</definedName>
    <definedName name="_m1073" hidden="1">Costs!$F$107</definedName>
    <definedName name="_m1074" hidden="1">Costs!$G$107</definedName>
    <definedName name="_m1075" hidden="1">Costs!$I$107</definedName>
    <definedName name="_m1076" hidden="1">Costs!$C$108</definedName>
    <definedName name="_m1077" hidden="1">Costs!$E$108</definedName>
    <definedName name="_m1078" hidden="1">Costs!$F$108</definedName>
    <definedName name="_m1079" hidden="1">Costs!$G$108</definedName>
    <definedName name="_m1080" hidden="1">Costs!$I$108</definedName>
    <definedName name="_m1081" hidden="1">Costs!$C$109</definedName>
    <definedName name="_m1082" hidden="1">Costs!$E$109</definedName>
    <definedName name="_m1083" hidden="1">Costs!$F$109</definedName>
    <definedName name="_m1084" hidden="1">Costs!$G$109</definedName>
    <definedName name="_m1085" hidden="1">Costs!$I$109</definedName>
    <definedName name="_m1086" hidden="1">Costs!$C$110</definedName>
    <definedName name="_m1087" hidden="1">Costs!$E$110</definedName>
    <definedName name="_m1088" hidden="1">Costs!$F$110</definedName>
    <definedName name="_m1089" hidden="1">Costs!$G$110</definedName>
    <definedName name="_m1090" hidden="1">Costs!$I$110</definedName>
    <definedName name="_m1091" hidden="1">Costs!$C$119</definedName>
    <definedName name="_m1092" hidden="1">Costs!$D$119</definedName>
    <definedName name="_m1093" hidden="1">Costs!$E$119</definedName>
    <definedName name="_m1094" hidden="1">Costs!$F$119</definedName>
    <definedName name="_m1095" hidden="1">Costs!$G$119</definedName>
    <definedName name="_m1096" hidden="1">Costs!$I$119</definedName>
    <definedName name="_m1097" hidden="1">Costs!$C$120</definedName>
    <definedName name="_m1098" hidden="1">Costs!$D$120</definedName>
    <definedName name="_m1099" hidden="1">Costs!$E$120</definedName>
    <definedName name="_m1100" hidden="1">Costs!$F$120</definedName>
    <definedName name="_m1101" hidden="1">Costs!$G$120</definedName>
    <definedName name="_m1102" hidden="1">Costs!$I$120</definedName>
    <definedName name="_m1103" hidden="1">Costs!$C$121</definedName>
    <definedName name="_m1104" hidden="1">Costs!$D$121</definedName>
    <definedName name="_m1105" hidden="1">Costs!$E$121</definedName>
    <definedName name="_m1106" hidden="1">Costs!$F$121</definedName>
    <definedName name="_m1107" hidden="1">Costs!$G$121</definedName>
    <definedName name="_m1108" hidden="1">Costs!$I$121</definedName>
    <definedName name="_m1109" hidden="1">Costs!$C$122</definedName>
    <definedName name="_m1110" hidden="1">Costs!$D$122</definedName>
    <definedName name="_m1111" hidden="1">Costs!$E$122</definedName>
    <definedName name="_m1112" hidden="1">Costs!$F$122</definedName>
    <definedName name="_m1113" hidden="1">Costs!$G$122</definedName>
    <definedName name="_m1114" hidden="1">Costs!$I$122</definedName>
    <definedName name="_m1115" hidden="1">Costs!$C$123</definedName>
    <definedName name="_m1116" hidden="1">Costs!$D$123</definedName>
    <definedName name="_m1117" hidden="1">Costs!$E$123</definedName>
    <definedName name="_m1118" hidden="1">Costs!$F$123</definedName>
    <definedName name="_m1119" hidden="1">Costs!$G$123</definedName>
    <definedName name="_m1120" hidden="1">Costs!$I$123</definedName>
    <definedName name="_m1121" hidden="1">Costs!$C$124</definedName>
    <definedName name="_m1122" hidden="1">Costs!$D$124</definedName>
    <definedName name="_m1123" hidden="1">Costs!$E$124</definedName>
    <definedName name="_m1124" hidden="1">Costs!$F$124</definedName>
    <definedName name="_m1125" hidden="1">Costs!$G$124</definedName>
    <definedName name="_m1126" hidden="1">Costs!$I$124</definedName>
    <definedName name="_m1127" hidden="1">Costs!$C$125</definedName>
    <definedName name="_m1128" hidden="1">Costs!$D$125</definedName>
    <definedName name="_m1129" hidden="1">Costs!$E$125</definedName>
    <definedName name="_m1130" hidden="1">Costs!$F$125</definedName>
    <definedName name="_m1131" hidden="1">Costs!$G$125</definedName>
    <definedName name="_m1132" hidden="1">Costs!$I$125</definedName>
    <definedName name="_m1133" hidden="1">Costs!$C$126</definedName>
    <definedName name="_m1134" hidden="1">Costs!$D$126</definedName>
    <definedName name="_m1135" hidden="1">Costs!$E$126</definedName>
    <definedName name="_m1136" hidden="1">Costs!$F$126</definedName>
    <definedName name="_m1137" hidden="1">Costs!$G$126</definedName>
    <definedName name="_m1138" hidden="1">Costs!$I$126</definedName>
    <definedName name="_m1139" hidden="1">Costs!$C$127</definedName>
    <definedName name="_m1140" hidden="1">Costs!$D$127</definedName>
    <definedName name="_m1141" hidden="1">Costs!$E$127</definedName>
    <definedName name="_m1142" hidden="1">Costs!$F$127</definedName>
    <definedName name="_m1143" hidden="1">Costs!$G$127</definedName>
    <definedName name="_m1144" hidden="1">Costs!$I$127</definedName>
    <definedName name="_m1145" hidden="1">Costs!$C$128</definedName>
    <definedName name="_m1146" hidden="1">Costs!$D$128</definedName>
    <definedName name="_m1147" hidden="1">Costs!$E$128</definedName>
    <definedName name="_m1148" hidden="1">Costs!$F$128</definedName>
    <definedName name="_m1149" hidden="1">Costs!$G$128</definedName>
    <definedName name="_m1150" hidden="1">Costs!$I$128</definedName>
    <definedName name="_m1151" hidden="1">Costs!$C$129</definedName>
    <definedName name="_m1152" hidden="1">Costs!$D$129</definedName>
    <definedName name="_m1153" hidden="1">Costs!$E$129</definedName>
    <definedName name="_m1154" hidden="1">Costs!$F$129</definedName>
    <definedName name="_m1155" hidden="1">Costs!$G$129</definedName>
    <definedName name="_m1156" hidden="1">Costs!$I$129</definedName>
    <definedName name="_m1157" hidden="1">Costs!$C$130</definedName>
    <definedName name="_m1158" hidden="1">Costs!$D$130</definedName>
    <definedName name="_m1159" hidden="1">Costs!$E$130</definedName>
    <definedName name="_m1160" hidden="1">Costs!$F$130</definedName>
    <definedName name="_m1161" hidden="1">Costs!$G$130</definedName>
    <definedName name="_m1162" hidden="1">Costs!$I$130</definedName>
    <definedName name="_m1163" hidden="1">Costs!$I$131</definedName>
    <definedName name="_m1164" hidden="1">Costs!$C$137</definedName>
    <definedName name="_m1165" hidden="1">Costs!$D$137</definedName>
    <definedName name="_m1166" hidden="1">Costs!$E$137</definedName>
    <definedName name="_m1167" hidden="1">Costs!$F$137</definedName>
    <definedName name="_m1168" hidden="1">Costs!$G$137</definedName>
    <definedName name="_m1169" hidden="1">Costs!$I$137</definedName>
    <definedName name="_m1170" hidden="1">Costs!$C$138</definedName>
    <definedName name="_m1171" hidden="1">Costs!$D$138</definedName>
    <definedName name="_m1172" hidden="1">Costs!$E$138</definedName>
    <definedName name="_m1173" hidden="1">Costs!$F$138</definedName>
    <definedName name="_m1174" hidden="1">Costs!$G$138</definedName>
    <definedName name="_m1175" hidden="1">Costs!$I$138</definedName>
    <definedName name="_m1176" hidden="1">Costs!$C$139</definedName>
    <definedName name="_m1177" hidden="1">Costs!$D$139</definedName>
    <definedName name="_m1178" hidden="1">Costs!$E$139</definedName>
    <definedName name="_m1179" hidden="1">Costs!$F$139</definedName>
    <definedName name="_m1180" hidden="1">Costs!$G$139</definedName>
    <definedName name="_m1181" hidden="1">Costs!$I$139</definedName>
    <definedName name="_m1182" hidden="1">Costs!$C$140</definedName>
    <definedName name="_m1183" hidden="1">Costs!$D$140</definedName>
    <definedName name="_m1184" hidden="1">Costs!$E$140</definedName>
    <definedName name="_m1185" hidden="1">Costs!$F$140</definedName>
    <definedName name="_m1186" hidden="1">Costs!$G$140</definedName>
    <definedName name="_m1187" hidden="1">Costs!$I$140</definedName>
    <definedName name="_m1188" hidden="1">Costs!$C$141</definedName>
    <definedName name="_m1189" hidden="1">Costs!$D$141</definedName>
    <definedName name="_m1190" hidden="1">Costs!$E$141</definedName>
    <definedName name="_m1191" hidden="1">Costs!$F$141</definedName>
    <definedName name="_m1192" hidden="1">Costs!$G$141</definedName>
    <definedName name="_m1193" hidden="1">Costs!$I$141</definedName>
    <definedName name="_m1194" hidden="1">Costs!$C$142</definedName>
    <definedName name="_m1195" hidden="1">Costs!$D$142</definedName>
    <definedName name="_m1196" hidden="1">Costs!$E$142</definedName>
    <definedName name="_m1197" hidden="1">Costs!$F$142</definedName>
    <definedName name="_m1198" hidden="1">Costs!$G$142</definedName>
    <definedName name="_m1199" hidden="1">Costs!$I$142</definedName>
    <definedName name="_m1200" hidden="1">Costs!$C$143</definedName>
    <definedName name="_m1201" hidden="1">Costs!$D$143</definedName>
    <definedName name="_m1202" hidden="1">Costs!$E$143</definedName>
    <definedName name="_m1203" hidden="1">Costs!$F$143</definedName>
    <definedName name="_m1204" hidden="1">Costs!$G$143</definedName>
    <definedName name="_m1205" hidden="1">Costs!$I$143</definedName>
    <definedName name="_m1206" hidden="1">Costs!$C$144</definedName>
    <definedName name="_m1207" hidden="1">Costs!$D$144</definedName>
    <definedName name="_m1208" hidden="1">Costs!$E$144</definedName>
    <definedName name="_m1209" hidden="1">Costs!$F$144</definedName>
    <definedName name="_m1210" hidden="1">Costs!$G$144</definedName>
    <definedName name="_m1211" hidden="1">Costs!$I$144</definedName>
    <definedName name="_m1212" hidden="1">Costs!$C$145</definedName>
    <definedName name="_m1213" hidden="1">Costs!$D$145</definedName>
    <definedName name="_m1214" hidden="1">Costs!$E$145</definedName>
    <definedName name="_m1215" hidden="1">Costs!$F$145</definedName>
    <definedName name="_m1216" hidden="1">Costs!$G$145</definedName>
    <definedName name="_m1217" hidden="1">Costs!$I$145</definedName>
    <definedName name="_m1218" hidden="1">Costs!$I$146</definedName>
    <definedName name="_m1219" hidden="1">Costs!$D$150</definedName>
    <definedName name="_m1220" hidden="1">Costs!$D$151</definedName>
    <definedName name="_m1221" hidden="1">Costs!$D$152</definedName>
    <definedName name="_m1222" hidden="1">Costs!$D$158</definedName>
    <definedName name="_m1223" hidden="1">Costs!$E$158</definedName>
    <definedName name="_m1224" hidden="1">Costs!$F$158</definedName>
    <definedName name="_m1225" hidden="1">Costs!$I$158</definedName>
    <definedName name="_m1226" hidden="1">Costs!$D$159</definedName>
    <definedName name="_m1227" hidden="1">Costs!$E$159</definedName>
    <definedName name="_m1228" hidden="1">Costs!$F$159</definedName>
    <definedName name="_m1229" hidden="1">Costs!$I$159</definedName>
    <definedName name="_m1230" hidden="1">Costs!$D$160</definedName>
    <definedName name="_m1231" hidden="1">Costs!$E$160</definedName>
    <definedName name="_m1232" hidden="1">Costs!$F$160</definedName>
    <definedName name="_m1233" hidden="1">Costs!$I$160</definedName>
    <definedName name="_m1234" hidden="1">Costs!$I$161</definedName>
    <definedName name="_m1235" hidden="1">Costs!$D$162</definedName>
    <definedName name="_m1236" hidden="1">Costs!$E$162</definedName>
    <definedName name="_m1237" hidden="1">Costs!$F$162</definedName>
    <definedName name="_m1238" hidden="1">Costs!$I$162</definedName>
    <definedName name="_m1239" hidden="1">Costs!$I$163</definedName>
    <definedName name="_m1240" hidden="1">Costs!$I$164</definedName>
    <definedName name="_m1241" hidden="1">Costs!$C$171</definedName>
    <definedName name="_m1242" hidden="1">Costs!$D$171</definedName>
    <definedName name="_m1243" hidden="1">Costs!$F$171</definedName>
    <definedName name="_m1244" hidden="1">Costs!$G$171</definedName>
    <definedName name="_m1245" hidden="1">Costs!$I$171</definedName>
    <definedName name="_m1246" hidden="1">Costs!$C$172</definedName>
    <definedName name="_m1247" hidden="1">Costs!$D$172</definedName>
    <definedName name="_m1248" hidden="1">Costs!$F$172</definedName>
    <definedName name="_m1249" hidden="1">Costs!$G$172</definedName>
    <definedName name="_m1250" hidden="1">Costs!$I$172</definedName>
    <definedName name="_m1251" hidden="1">Costs!$C$173</definedName>
    <definedName name="_m1252" hidden="1">Costs!$D$173</definedName>
    <definedName name="_m1253" hidden="1">Costs!$F$173</definedName>
    <definedName name="_m1254" hidden="1">Costs!$G$173</definedName>
    <definedName name="_m1255" hidden="1">Costs!$I$173</definedName>
    <definedName name="_m1256" hidden="1">Costs!$C$174</definedName>
    <definedName name="_m1257" hidden="1">Costs!$D$174</definedName>
    <definedName name="_m1258" hidden="1">Costs!$F$174</definedName>
    <definedName name="_m1259" hidden="1">Costs!$G$174</definedName>
    <definedName name="_m1260" hidden="1">Costs!$I$174</definedName>
    <definedName name="_m1261" hidden="1">Costs!$C$175</definedName>
    <definedName name="_m1262" hidden="1">Costs!$D$175</definedName>
    <definedName name="_m1263" hidden="1">Costs!$F$175</definedName>
    <definedName name="_m1264" hidden="1">Costs!$G$175</definedName>
    <definedName name="_m1265" hidden="1">Costs!$I$175</definedName>
    <definedName name="_m1266" hidden="1">Costs!$C$176</definedName>
    <definedName name="_m1267" hidden="1">Costs!$D$176</definedName>
    <definedName name="_m1268" hidden="1">Costs!$F$176</definedName>
    <definedName name="_m1269" hidden="1">Costs!$G$176</definedName>
    <definedName name="_m1270" hidden="1">Costs!$I$176</definedName>
    <definedName name="_m1271" hidden="1">Costs!$C$177</definedName>
    <definedName name="_m1272" hidden="1">Costs!$D$177</definedName>
    <definedName name="_m1273" hidden="1">Costs!$F$177</definedName>
    <definedName name="_m1274" hidden="1">Costs!$G$177</definedName>
    <definedName name="_m1275" hidden="1">Costs!$I$177</definedName>
    <definedName name="_m1276" hidden="1">Costs!$D$182</definedName>
    <definedName name="_m1277" hidden="1">Costs!$E$182</definedName>
    <definedName name="_m1278" hidden="1">Costs!$F$182</definedName>
    <definedName name="_m1279" hidden="1">Costs!$I$182</definedName>
    <definedName name="_m1280" hidden="1">Costs!$I$183</definedName>
    <definedName name="_m1281" hidden="1">Costs!$D$184</definedName>
    <definedName name="_m1282" hidden="1">Costs!$E$184</definedName>
    <definedName name="_m1283" hidden="1">Costs!$F$184</definedName>
    <definedName name="_m1284" hidden="1">Costs!$I$184</definedName>
    <definedName name="_m1285" hidden="1">Costs!$I$185</definedName>
    <definedName name="_m1286" hidden="1">Costs!$I$186</definedName>
    <definedName name="_m1287" hidden="1">Costs!$D$187</definedName>
    <definedName name="_m1288" hidden="1">Costs!$E$187</definedName>
    <definedName name="_m1289" hidden="1">Costs!$F$187</definedName>
    <definedName name="_m1290" hidden="1">Costs!$I$187</definedName>
    <definedName name="_m1291" hidden="1">Costs!$I$188</definedName>
    <definedName name="_m1292" hidden="1">Costs!$I$189</definedName>
    <definedName name="_m1293" hidden="1">TCO!$F$8</definedName>
    <definedName name="_m1294" hidden="1">TCO!$F$14</definedName>
    <definedName name="_m1295" hidden="1">TCO!$E$22</definedName>
    <definedName name="_m1296" hidden="1">TCO!$K$22</definedName>
    <definedName name="_m1297" hidden="1">TCO!$E$23</definedName>
    <definedName name="_m1298" hidden="1">TCO!$K$23</definedName>
    <definedName name="_m1299" hidden="1">TCO!$K$24</definedName>
    <definedName name="_m1300" hidden="1">TCO!$E$25</definedName>
    <definedName name="_m1301" hidden="1">TCO!$K$25</definedName>
    <definedName name="_m1302" hidden="1">TCO!$K$26</definedName>
    <definedName name="_m1303" hidden="1">TCO!$E$53</definedName>
    <definedName name="_m1304" hidden="1">TCO!$H$53</definedName>
    <definedName name="_m1305" hidden="1">TCO!$K$53</definedName>
    <definedName name="_m1306" hidden="1">TCO!$E$54</definedName>
    <definedName name="_m1307" hidden="1">TCO!$H$54</definedName>
    <definedName name="_m1308" hidden="1">TCO!$K$54</definedName>
    <definedName name="_m1309" hidden="1">TCO!$E$55</definedName>
    <definedName name="_m1310" hidden="1">TCO!$H$55</definedName>
    <definedName name="_m1311" hidden="1">TCO!$K$55</definedName>
    <definedName name="_m1312" hidden="1">TCO!$H$56</definedName>
    <definedName name="_m1313" hidden="1">TCO!$K$56</definedName>
    <definedName name="_m1314" hidden="1">TCO!$E$60</definedName>
    <definedName name="_m1315" hidden="1">TCO!$H$60</definedName>
    <definedName name="_m1316" hidden="1">TCO!$K$60</definedName>
    <definedName name="_m1317" hidden="1">TCO!$E$61</definedName>
    <definedName name="_m1318" hidden="1">TCO!$H$61</definedName>
    <definedName name="_m1319" hidden="1">TCO!$K$61</definedName>
    <definedName name="_m1320" hidden="1">TCO!$E$62</definedName>
    <definedName name="_m1321" hidden="1">TCO!$H$62</definedName>
    <definedName name="_m1322" hidden="1">TCO!$K$62</definedName>
    <definedName name="_m1323" hidden="1">TCO!$H$63</definedName>
    <definedName name="_m1324" hidden="1">TCO!$K$63</definedName>
    <definedName name="_m1325" hidden="1">TCO!$E$66</definedName>
    <definedName name="_m1326" hidden="1">TCO!$H$66</definedName>
    <definedName name="_m1327" hidden="1">TCO!$K$66</definedName>
    <definedName name="_m1328" hidden="1">TCO!$E$67</definedName>
    <definedName name="_m1329" hidden="1">TCO!$H$67</definedName>
    <definedName name="_m1330" hidden="1">TCO!$K$67</definedName>
    <definedName name="_m1331" hidden="1">TCO!$E$68</definedName>
    <definedName name="_m1332" hidden="1">TCO!$H$68</definedName>
    <definedName name="_m1333" hidden="1">TCO!$K$68</definedName>
    <definedName name="_m1334" hidden="1">TCO!$H$69</definedName>
    <definedName name="_m1335" hidden="1">TCO!$K$69</definedName>
    <definedName name="_m1336" hidden="1">TCO!$E$73</definedName>
    <definedName name="_m1337" hidden="1">TCO!$H$73</definedName>
    <definedName name="_m1338" hidden="1">TCO!$K$73</definedName>
    <definedName name="_m1339" hidden="1">TCO!$E$74</definedName>
    <definedName name="_m1340" hidden="1">TCO!$H$74</definedName>
    <definedName name="_m1341" hidden="1">TCO!$K$74</definedName>
    <definedName name="_m1342" hidden="1">TCO!$E$75</definedName>
    <definedName name="_m1343" hidden="1">TCO!$H$75</definedName>
    <definedName name="_m1344" hidden="1">TCO!$K$75</definedName>
    <definedName name="_m1345" hidden="1">TCO!$H$76</definedName>
    <definedName name="_m1346" hidden="1">TCO!$K$76</definedName>
    <definedName name="_m1347" hidden="1">TCO!$E$83</definedName>
    <definedName name="_m1348" hidden="1">TCO!$H$83</definedName>
    <definedName name="_m1349" hidden="1">TCO!$K$83</definedName>
    <definedName name="_m1350" hidden="1">TCO!$E$84</definedName>
    <definedName name="_m1351" hidden="1">TCO!$H$84</definedName>
    <definedName name="_m1352" hidden="1">TCO!$K$84</definedName>
    <definedName name="_m1353" hidden="1">TCO!$E$85</definedName>
    <definedName name="_m1354" hidden="1">TCO!$H$85</definedName>
    <definedName name="_m1355" hidden="1">TCO!$K$85</definedName>
    <definedName name="_m1356" hidden="1">TCO!$E$86</definedName>
    <definedName name="_m1357" hidden="1">TCO!$H$86</definedName>
    <definedName name="_m1358" hidden="1">TCO!$K$86</definedName>
    <definedName name="_m1359" hidden="1">TCO!$E$87</definedName>
    <definedName name="_m1360" hidden="1">TCO!$H$87</definedName>
    <definedName name="_m1361" hidden="1">TCO!$K$87</definedName>
    <definedName name="_m1362" hidden="1">TCO!$E$88</definedName>
    <definedName name="_m1363" hidden="1">TCO!$H$88</definedName>
    <definedName name="_m1364" hidden="1">TCO!$K$88</definedName>
    <definedName name="_m1365" hidden="1">TCO!$E$89</definedName>
    <definedName name="_m1366" hidden="1">TCO!$H$89</definedName>
    <definedName name="_m1367" hidden="1">TCO!$K$89</definedName>
    <definedName name="_m1368" hidden="1">TCO!$H$90</definedName>
    <definedName name="_m1369" hidden="1">TCO!$K$90</definedName>
    <definedName name="_m1370" hidden="1">TCO!$K$95</definedName>
    <definedName name="_m1371" hidden="1">TCO!$K$96</definedName>
    <definedName name="_m1372" hidden="1">TCO!$K$97</definedName>
    <definedName name="_m1373" hidden="1">TCO!$K$98</definedName>
    <definedName name="_m1374" hidden="1">TCO!$K$99</definedName>
    <definedName name="_m1375" hidden="1">TCO!$K$100</definedName>
    <definedName name="_m1376" hidden="1">TCO!$K$101</definedName>
    <definedName name="_m1377" hidden="1">TCO!$K$102</definedName>
    <definedName name="_m1378" hidden="1">'Direct Savings'!$D$52</definedName>
    <definedName name="_m1379" hidden="1">'Direct Savings'!$E$52</definedName>
    <definedName name="_m1380" hidden="1">'Direct Savings'!$F$52</definedName>
    <definedName name="_m1381" hidden="1">'Direct Savings'!$G$52</definedName>
    <definedName name="_m1382" hidden="1">'Direct Savings'!$I$52</definedName>
    <definedName name="_m1383" hidden="1">'Direct Savings'!$D$53</definedName>
    <definedName name="_m1384" hidden="1">'Direct Savings'!$E$53</definedName>
    <definedName name="_m1385" hidden="1">'Direct Savings'!$F$53</definedName>
    <definedName name="_m1386" hidden="1">'Direct Savings'!$G$53</definedName>
    <definedName name="_m1387" hidden="1">'Direct Savings'!$I$53</definedName>
    <definedName name="_m1388" hidden="1">'Direct Savings'!$D$54</definedName>
    <definedName name="_m1389" hidden="1">'Direct Savings'!$E$54</definedName>
    <definedName name="_m1390" hidden="1">'Direct Savings'!$F$54</definedName>
    <definedName name="_m1391" hidden="1">'Direct Savings'!$G$54</definedName>
    <definedName name="_m1392" hidden="1">'Direct Savings'!$I$54</definedName>
    <definedName name="_m1393" hidden="1">'Direct Savings'!$D$55</definedName>
    <definedName name="_m1394" hidden="1">'Direct Savings'!$E$55</definedName>
    <definedName name="_m1395" hidden="1">'Direct Savings'!$F$55</definedName>
    <definedName name="_m1396" hidden="1">'Direct Savings'!$G$55</definedName>
    <definedName name="_m1397" hidden="1">'Direct Savings'!$I$55</definedName>
    <definedName name="_m1398" hidden="1">'Direct Savings'!$D$56</definedName>
    <definedName name="_m1399" hidden="1">'Direct Savings'!$E$56</definedName>
    <definedName name="_m1400" hidden="1">'Direct Savings'!$F$56</definedName>
    <definedName name="_m1401" hidden="1">'Direct Savings'!$G$56</definedName>
    <definedName name="_m1402" hidden="1">'Direct Savings'!$I$56</definedName>
    <definedName name="_m1403" hidden="1">'Direct Savings'!$D$57</definedName>
    <definedName name="_m1404" hidden="1">'Direct Savings'!$E$57</definedName>
    <definedName name="_m1405" hidden="1">'Direct Savings'!$F$57</definedName>
    <definedName name="_m1406" hidden="1">'Direct Savings'!$G$57</definedName>
    <definedName name="_m1407" hidden="1">'Direct Savings'!$I$57</definedName>
    <definedName name="_m1408" hidden="1">'Direct Savings'!$E$63</definedName>
    <definedName name="_m1409" hidden="1">'Direct Savings'!$D$66</definedName>
    <definedName name="_m1410" hidden="1">'Direct Savings'!$E$66</definedName>
    <definedName name="_m1411" hidden="1">'Direct Savings'!$F$66</definedName>
    <definedName name="_m1412" hidden="1">'Direct Savings'!$G$66</definedName>
    <definedName name="_m1413" hidden="1">'Direct Savings'!$I$66</definedName>
    <definedName name="_m1414" hidden="1">'Direct Savings'!$D$67</definedName>
    <definedName name="_m1415" hidden="1">'Direct Savings'!$E$67</definedName>
    <definedName name="_m1416" hidden="1">'Direct Savings'!$F$67</definedName>
    <definedName name="_m1417" hidden="1">'Direct Savings'!$G$67</definedName>
    <definedName name="_m1418" hidden="1">'Direct Savings'!$I$67</definedName>
    <definedName name="_m1419" hidden="1">'Direct Savings'!$D$68</definedName>
    <definedName name="_m1420" hidden="1">'Direct Savings'!$E$68</definedName>
    <definedName name="_m1421" hidden="1">'Direct Savings'!$F$68</definedName>
    <definedName name="_m1422" hidden="1">'Direct Savings'!$G$68</definedName>
    <definedName name="_m1423" hidden="1">'Direct Savings'!$I$68</definedName>
    <definedName name="_m1424" hidden="1">'Direct Savings'!$D$69</definedName>
    <definedName name="_m1425" hidden="1">'Direct Savings'!$E$69</definedName>
    <definedName name="_m1426" hidden="1">'Direct Savings'!$F$69</definedName>
    <definedName name="_m1427" hidden="1">'Direct Savings'!$G$69</definedName>
    <definedName name="_m1428" hidden="1">'Direct Savings'!$I$69</definedName>
    <definedName name="_m1429" hidden="1">'Direct Savings'!$D$70</definedName>
    <definedName name="_m1430" hidden="1">'Direct Savings'!$E$70</definedName>
    <definedName name="_m1431" hidden="1">'Direct Savings'!$F$70</definedName>
    <definedName name="_m1432" hidden="1">'Direct Savings'!$G$70</definedName>
    <definedName name="_m1433" hidden="1">'Direct Savings'!$I$70</definedName>
    <definedName name="_m1434" hidden="1">'Direct Savings'!$D$75</definedName>
    <definedName name="_m1435" hidden="1">'Direct Savings'!$E$75</definedName>
    <definedName name="_m1436" hidden="1">'Direct Savings'!$F$75</definedName>
    <definedName name="_m1437" hidden="1">'Direct Savings'!$G$75</definedName>
    <definedName name="_m1438" hidden="1">'Direct Savings'!$I$75</definedName>
    <definedName name="_m1439" hidden="1">'Direct Savings'!$D$76</definedName>
    <definedName name="_m1440" hidden="1">'Direct Savings'!$E$76</definedName>
    <definedName name="_m1441" hidden="1">'Direct Savings'!$F$76</definedName>
    <definedName name="_m1442" hidden="1">'Direct Savings'!$G$76</definedName>
    <definedName name="_m1443" hidden="1">'Direct Savings'!$I$76</definedName>
    <definedName name="_m1444" hidden="1">'Direct Savings'!$D$77</definedName>
    <definedName name="_m1445" hidden="1">'Direct Savings'!$E$77</definedName>
    <definedName name="_m1446" hidden="1">'Direct Savings'!$F$77</definedName>
    <definedName name="_m1447" hidden="1">'Direct Savings'!$G$77</definedName>
    <definedName name="_m1448" hidden="1">'Direct Savings'!$I$77</definedName>
    <definedName name="_m1449" hidden="1">'Direct Savings'!$D$78</definedName>
    <definedName name="_m1450" hidden="1">'Direct Savings'!$E$78</definedName>
    <definedName name="_m1451" hidden="1">'Direct Savings'!$F$78</definedName>
    <definedName name="_m1452" hidden="1">'Direct Savings'!$G$78</definedName>
    <definedName name="_m1453" hidden="1">'Direct Savings'!$I$78</definedName>
    <definedName name="_m1454" hidden="1">'Direct Savings'!$D$79</definedName>
    <definedName name="_m1455" hidden="1">'Direct Savings'!$E$79</definedName>
    <definedName name="_m1456" hidden="1">'Direct Savings'!$F$79</definedName>
    <definedName name="_m1457" hidden="1">'Direct Savings'!$G$79</definedName>
    <definedName name="_m1458" hidden="1">'Direct Savings'!$I$79</definedName>
    <definedName name="_m1459" hidden="1">'Direct Savings'!$D$84</definedName>
    <definedName name="_m1460" hidden="1">'Direct Savings'!$E$84</definedName>
    <definedName name="_m1461" hidden="1">'Direct Savings'!$F$84</definedName>
    <definedName name="_m1462" hidden="1">'Direct Savings'!$G$84</definedName>
    <definedName name="_m1463" hidden="1">'Direct Savings'!$I$84</definedName>
    <definedName name="_m1464" hidden="1">'Direct Savings'!$D$85</definedName>
    <definedName name="_m1465" hidden="1">'Direct Savings'!$E$85</definedName>
    <definedName name="_m1466" hidden="1">'Direct Savings'!$F$85</definedName>
    <definedName name="_m1467" hidden="1">'Direct Savings'!$G$85</definedName>
    <definedName name="_m1468" hidden="1">'Direct Savings'!$I$85</definedName>
    <definedName name="_m1469" hidden="1">'Direct Savings'!$D$86</definedName>
    <definedName name="_m1470" hidden="1">'Direct Savings'!$E$86</definedName>
    <definedName name="_m1471" hidden="1">'Direct Savings'!$F$86</definedName>
    <definedName name="_m1472" hidden="1">'Direct Savings'!$G$86</definedName>
    <definedName name="_m1473" hidden="1">'Direct Savings'!$I$86</definedName>
    <definedName name="_m1474" hidden="1">'Direct Savings'!$D$87</definedName>
    <definedName name="_m1475" hidden="1">'Direct Savings'!$E$87</definedName>
    <definedName name="_m1476" hidden="1">'Direct Savings'!$F$87</definedName>
    <definedName name="_m1477" hidden="1">'Direct Savings'!$G$87</definedName>
    <definedName name="_m1478" hidden="1">'Direct Savings'!$I$87</definedName>
    <definedName name="_m1479" hidden="1">'Direct Savings'!$D$88</definedName>
    <definedName name="_m1480" hidden="1">'Direct Savings'!$E$88</definedName>
    <definedName name="_m1481" hidden="1">'Direct Savings'!$F$88</definedName>
    <definedName name="_m1482" hidden="1">'Direct Savings'!$G$88</definedName>
    <definedName name="_m1483" hidden="1">'Direct Savings'!$I$88</definedName>
    <definedName name="_m1484" hidden="1">'Direct Savings'!$E$94</definedName>
    <definedName name="_m1485" hidden="1">'Direct Savings'!$F$94</definedName>
    <definedName name="_m1486" hidden="1">'Direct Savings'!$I$94</definedName>
    <definedName name="_m1487" hidden="1">'Direct Savings'!$E$95</definedName>
    <definedName name="_m1488" hidden="1">'Direct Savings'!$F$95</definedName>
    <definedName name="_m1489" hidden="1">'Direct Savings'!$I$95</definedName>
    <definedName name="_m1490" hidden="1">'Direct Savings'!$I$96</definedName>
    <definedName name="_m1491" hidden="1">'Direct Savings'!$I$97</definedName>
    <definedName name="_m1492" hidden="1">'Direct Savings'!$E$98</definedName>
    <definedName name="_m1493" hidden="1">'Direct Savings'!$F$98</definedName>
    <definedName name="_m1494" hidden="1">'Direct Savings'!$I$98</definedName>
    <definedName name="_m1495" hidden="1">'Direct Savings'!$I$99</definedName>
    <definedName name="_m1496" hidden="1">'Direct Savings'!$F$100</definedName>
    <definedName name="_m1497" hidden="1">'Direct Savings'!$I$100</definedName>
    <definedName name="_m1498" hidden="1">'Direct Savings'!$E$101</definedName>
    <definedName name="_m1499" hidden="1">'Direct Savings'!$F$101</definedName>
    <definedName name="_m1500" hidden="1">'Direct Savings'!$I$101</definedName>
    <definedName name="_m1501" hidden="1">'Direct Savings'!$E$102</definedName>
    <definedName name="_m1502" hidden="1">'Direct Savings'!$F$102</definedName>
    <definedName name="_m1503" hidden="1">'Direct Savings'!$I$102</definedName>
    <definedName name="_m1504" hidden="1">'Direct Savings'!$E$103</definedName>
    <definedName name="_m1505" hidden="1">'Direct Savings'!$F$103</definedName>
    <definedName name="_m1506" hidden="1">'Direct Savings'!$I$103</definedName>
    <definedName name="_m1507" hidden="1">'Direct Savings'!$D$109</definedName>
    <definedName name="_m1508" hidden="1">'Direct Savings'!$E$109</definedName>
    <definedName name="_m1509" hidden="1">'Direct Savings'!$F$109</definedName>
    <definedName name="_m1510" hidden="1">'Direct Savings'!$G$109</definedName>
    <definedName name="_m1511" hidden="1">'Direct Savings'!$I$109</definedName>
    <definedName name="_m1512" hidden="1">'Direct Savings'!$D$110</definedName>
    <definedName name="_m1513" hidden="1">'Direct Savings'!$E$110</definedName>
    <definedName name="_m1514" hidden="1">'Direct Savings'!$F$110</definedName>
    <definedName name="_m1515" hidden="1">'Direct Savings'!$G$110</definedName>
    <definedName name="_m1516" hidden="1">'Direct Savings'!$I$110</definedName>
    <definedName name="_m1517" hidden="1">'Direct Savings'!$D$111</definedName>
    <definedName name="_m1518" hidden="1">'Direct Savings'!$E$111</definedName>
    <definedName name="_m1519" hidden="1">'Direct Savings'!$F$111</definedName>
    <definedName name="_m1520" hidden="1">'Direct Savings'!$G$111</definedName>
    <definedName name="_m1521" hidden="1">'Direct Savings'!$I$111</definedName>
    <definedName name="_m1522" hidden="1">'Direct Savings'!$D$112</definedName>
    <definedName name="_m1523" hidden="1">'Direct Savings'!$E$112</definedName>
    <definedName name="_m1524" hidden="1">'Direct Savings'!$F$112</definedName>
    <definedName name="_m1525" hidden="1">'Direct Savings'!$G$112</definedName>
    <definedName name="_m1526" hidden="1">'Direct Savings'!$I$112</definedName>
    <definedName name="_m1527" hidden="1">'Direct Savings'!$E$118</definedName>
    <definedName name="_m1528" hidden="1">'Direct Savings'!$I$118</definedName>
    <definedName name="_m1529" hidden="1">'Direct Savings'!$E$119</definedName>
    <definedName name="_m1530" hidden="1">'Direct Savings'!$I$119</definedName>
    <definedName name="_m1531" hidden="1">'Direct Savings'!$E$120</definedName>
    <definedName name="_m1532" hidden="1">'Direct Savings'!$I$120</definedName>
    <definedName name="_m1533" hidden="1">'Direct Savings'!$I$121</definedName>
    <definedName name="_m1534" hidden="1">'Direct Savings'!$E$122</definedName>
    <definedName name="_m1535" hidden="1">'Direct Savings'!$I$122</definedName>
    <definedName name="_m1536" hidden="1">'Direct Savings'!$D$128</definedName>
    <definedName name="_m1537" hidden="1">'Direct Savings'!$E$128</definedName>
    <definedName name="_m1538" hidden="1">'Direct Savings'!$F$128</definedName>
    <definedName name="_m1539" hidden="1">'Direct Savings'!$G$128</definedName>
    <definedName name="_m1540" hidden="1">'Direct Savings'!$I$128</definedName>
    <definedName name="_m1541" hidden="1">'Direct Savings'!$D$129</definedName>
    <definedName name="_m1542" hidden="1">'Direct Savings'!$E$129</definedName>
    <definedName name="_m1543" hidden="1">'Direct Savings'!$F$129</definedName>
    <definedName name="_m1544" hidden="1">'Direct Savings'!$G$129</definedName>
    <definedName name="_m1545" hidden="1">'Direct Savings'!$I$129</definedName>
    <definedName name="_m1546" hidden="1">'Direct Savings'!$D$130</definedName>
    <definedName name="_m1547" hidden="1">'Direct Savings'!$E$130</definedName>
    <definedName name="_m1548" hidden="1">'Direct Savings'!$F$130</definedName>
    <definedName name="_m1549" hidden="1">'Direct Savings'!$G$130</definedName>
    <definedName name="_m1550" hidden="1">'Direct Savings'!$I$130</definedName>
    <definedName name="_m1551" hidden="1">'Direct Savings'!$D$131</definedName>
    <definedName name="_m1552" hidden="1">'Direct Savings'!$E$131</definedName>
    <definedName name="_m1553" hidden="1">'Direct Savings'!$F$131</definedName>
    <definedName name="_m1554" hidden="1">'Direct Savings'!$G$131</definedName>
    <definedName name="_m1555" hidden="1">'Direct Savings'!$I$131</definedName>
    <definedName name="_m1556" hidden="1">'Direct Savings'!$D$136</definedName>
    <definedName name="_m1557" hidden="1">'Direct Savings'!$E$136</definedName>
    <definedName name="_m1558" hidden="1">'Direct Savings'!$F$136</definedName>
    <definedName name="_m1559" hidden="1">'Direct Savings'!$G$136</definedName>
    <definedName name="_m1560" hidden="1">'Direct Savings'!$I$136</definedName>
    <definedName name="_m1561" hidden="1">'Direct Savings'!$D$137</definedName>
    <definedName name="_m1562" hidden="1">'Direct Savings'!$E$137</definedName>
    <definedName name="_m1563" hidden="1">'Direct Savings'!$F$137</definedName>
    <definedName name="_m1564" hidden="1">'Direct Savings'!$G$137</definedName>
    <definedName name="_m1565" hidden="1">'Direct Savings'!$I$137</definedName>
    <definedName name="_m1566" hidden="1">'Direct Savings'!$D$138</definedName>
    <definedName name="_m1567" hidden="1">'Direct Savings'!$E$138</definedName>
    <definedName name="_m1568" hidden="1">'Direct Savings'!$F$138</definedName>
    <definedName name="_m1569" hidden="1">'Direct Savings'!$G$138</definedName>
    <definedName name="_m1570" hidden="1">'Direct Savings'!$I$138</definedName>
    <definedName name="_m1571" hidden="1">'Direct Savings'!$D$139</definedName>
    <definedName name="_m1572" hidden="1">'Direct Savings'!$E$139</definedName>
    <definedName name="_m1573" hidden="1">'Direct Savings'!$F$139</definedName>
    <definedName name="_m1574" hidden="1">'Direct Savings'!$G$139</definedName>
    <definedName name="_m1575" hidden="1">'Direct Savings'!$I$139</definedName>
    <definedName name="_m1576" hidden="1">'Direct Savings'!$D$140</definedName>
    <definedName name="_m1577" hidden="1">'Direct Savings'!$E$140</definedName>
    <definedName name="_m1578" hidden="1">'Direct Savings'!$F$140</definedName>
    <definedName name="_m1579" hidden="1">'Direct Savings'!$G$140</definedName>
    <definedName name="_m1580" hidden="1">'Direct Savings'!$I$140</definedName>
    <definedName name="_m1581" hidden="1">'Direct Savings'!$D$141</definedName>
    <definedName name="_m1582" hidden="1">'Direct Savings'!$E$141</definedName>
    <definedName name="_m1583" hidden="1">'Direct Savings'!$F$141</definedName>
    <definedName name="_m1584" hidden="1">'Direct Savings'!$G$141</definedName>
    <definedName name="_m1585" hidden="1">'Direct Savings'!$I$141</definedName>
    <definedName name="_m1586" hidden="1">'Direct Savings'!$D$142</definedName>
    <definedName name="_m1587" hidden="1">'Direct Savings'!$E$142</definedName>
    <definedName name="_m1588" hidden="1">'Direct Savings'!$F$142</definedName>
    <definedName name="_m1589" hidden="1">'Direct Savings'!$G$142</definedName>
    <definedName name="_m1590" hidden="1">'Direct Savings'!$I$142</definedName>
    <definedName name="_m1591" hidden="1">'Direct Savings'!$D$143</definedName>
    <definedName name="_m1592" hidden="1">'Direct Savings'!$E$143</definedName>
    <definedName name="_m1593" hidden="1">'Direct Savings'!$F$143</definedName>
    <definedName name="_m1594" hidden="1">'Direct Savings'!$G$143</definedName>
    <definedName name="_m1595" hidden="1">'Direct Savings'!$I$143</definedName>
    <definedName name="_m1596" hidden="1">Productivity!$E$15</definedName>
    <definedName name="_m1597" hidden="1">Productivity!$F$15</definedName>
    <definedName name="_m1598" hidden="1">Productivity!$L$15</definedName>
    <definedName name="_m1599" hidden="1">Productivity!$E$16</definedName>
    <definedName name="_m1600" hidden="1">Productivity!$F$16</definedName>
    <definedName name="_m1601" hidden="1">Productivity!$L$16</definedName>
    <definedName name="_m1602" hidden="1">Productivity!$E$17</definedName>
    <definedName name="_m1603" hidden="1">Productivity!$F$17</definedName>
    <definedName name="_m1604" hidden="1">Productivity!$L$17</definedName>
    <definedName name="_m1607" hidden="1">Productivity!$L$18</definedName>
    <definedName name="_m1608" hidden="1">Productivity!$E$23</definedName>
    <definedName name="_m1609" hidden="1">Productivity!$F$23</definedName>
    <definedName name="_m1610" hidden="1">Productivity!$L$23</definedName>
    <definedName name="_m1611" hidden="1">Productivity!$E$24</definedName>
    <definedName name="_m1612" hidden="1">Productivity!$F$24</definedName>
    <definedName name="_m1613" hidden="1">Productivity!$L$24</definedName>
    <definedName name="_m1614" hidden="1">Productivity!$E$25</definedName>
    <definedName name="_m1615" hidden="1">Productivity!$F$25</definedName>
    <definedName name="_m1616" hidden="1">Productivity!$L$25</definedName>
    <definedName name="_m1617" hidden="1">Productivity!$E$26</definedName>
    <definedName name="_m1618" hidden="1">Productivity!$F$26</definedName>
    <definedName name="_m1619" hidden="1">Productivity!$L$26</definedName>
    <definedName name="_m1622" hidden="1">Productivity!$L$27</definedName>
    <definedName name="_m1623" hidden="1">Productivity!$E$30</definedName>
    <definedName name="_m1624" hidden="1">Productivity!$F$30</definedName>
    <definedName name="_m1625" hidden="1">Productivity!$L$30</definedName>
    <definedName name="_m1626" hidden="1">Productivity!$E$31</definedName>
    <definedName name="_m1627" hidden="1">Productivity!$F$31</definedName>
    <definedName name="_m1628" hidden="1">Productivity!$L$31</definedName>
    <definedName name="_m1629" hidden="1">Productivity!$E$32</definedName>
    <definedName name="_m1630" hidden="1">Productivity!$F$32</definedName>
    <definedName name="_m1631" hidden="1">Productivity!$L$32</definedName>
    <definedName name="_m1634" hidden="1">Productivity!$L$33</definedName>
    <definedName name="_m1635" hidden="1">Productivity!$E$36</definedName>
    <definedName name="_m1636" hidden="1">Productivity!$F$36</definedName>
    <definedName name="_m1637" hidden="1">Productivity!$L$36</definedName>
    <definedName name="_m1638" hidden="1">Productivity!$E$37</definedName>
    <definedName name="_m1639" hidden="1">Productivity!$F$37</definedName>
    <definedName name="_m1640" hidden="1">Productivity!$L$37</definedName>
    <definedName name="_m1641" hidden="1">Productivity!$E$38</definedName>
    <definedName name="_m1642" hidden="1">Productivity!$F$38</definedName>
    <definedName name="_m1643" hidden="1">Productivity!$L$38</definedName>
    <definedName name="_m1644" hidden="1">Productivity!$E$39</definedName>
    <definedName name="_m1645" hidden="1">Productivity!$F$39</definedName>
    <definedName name="_m1646" hidden="1">Productivity!$L$39</definedName>
    <definedName name="_m1647" hidden="1">Productivity!$E$40</definedName>
    <definedName name="_m1648" hidden="1">Productivity!$F$40</definedName>
    <definedName name="_m1649" hidden="1">Productivity!$L$40</definedName>
    <definedName name="_m1652" hidden="1">Productivity!$L$41</definedName>
    <definedName name="_m1653" hidden="1">Productivity!$E$96</definedName>
    <definedName name="_m1654" hidden="1">Productivity!$F$96</definedName>
    <definedName name="_m1655" hidden="1">Productivity!$I$96</definedName>
    <definedName name="_m1656" hidden="1">Productivity!$L$96</definedName>
    <definedName name="_m1657" hidden="1">Productivity!$E$97</definedName>
    <definedName name="_m1658" hidden="1">Productivity!$F$97</definedName>
    <definedName name="_m1659" hidden="1">Productivity!$I$97</definedName>
    <definedName name="_m1660" hidden="1">Productivity!$L$97</definedName>
    <definedName name="_m1661" hidden="1">Productivity!$E$98</definedName>
    <definedName name="_m1662" hidden="1">Productivity!$F$98</definedName>
    <definedName name="_m1663" hidden="1">Productivity!$I$98</definedName>
    <definedName name="_m1664" hidden="1">Productivity!$L$98</definedName>
    <definedName name="_m1665" hidden="1">Productivity!$E$99</definedName>
    <definedName name="_m1666" hidden="1">Productivity!$F$99</definedName>
    <definedName name="_m1667" hidden="1">Productivity!$I$99</definedName>
    <definedName name="_m1668" hidden="1">Productivity!$L$99</definedName>
    <definedName name="_m1671" hidden="1">Productivity!$I$100</definedName>
    <definedName name="_m1672" hidden="1">Productivity!$L$100</definedName>
    <definedName name="_m1678" hidden="1">Productivity!$L$101</definedName>
    <definedName name="_m1679" hidden="1">Productivity!$E$104</definedName>
    <definedName name="_m1680" hidden="1">Productivity!$F$104</definedName>
    <definedName name="_m1681" hidden="1">Productivity!$I$104</definedName>
    <definedName name="_m1682" hidden="1">Productivity!$L$104</definedName>
    <definedName name="_m1683" hidden="1">Productivity!$E$105</definedName>
    <definedName name="_m1684" hidden="1">Productivity!$F$105</definedName>
    <definedName name="_m1685" hidden="1">Productivity!$I$105</definedName>
    <definedName name="_m1686" hidden="1">Productivity!$L$105</definedName>
    <definedName name="_m1687" hidden="1">Productivity!$E$106</definedName>
    <definedName name="_m1688" hidden="1">Productivity!$F$106</definedName>
    <definedName name="_m1689" hidden="1">Productivity!$I$106</definedName>
    <definedName name="_m1690" hidden="1">Productivity!$L$106</definedName>
    <definedName name="_m1691" hidden="1">Productivity!$E$107</definedName>
    <definedName name="_m1692" hidden="1">Productivity!$F$107</definedName>
    <definedName name="_m1693" hidden="1">Productivity!$I$107</definedName>
    <definedName name="_m1694" hidden="1">Productivity!$L$107</definedName>
    <definedName name="_m1697" hidden="1">Productivity!$I$108</definedName>
    <definedName name="_m1698" hidden="1">Productivity!$L$108</definedName>
    <definedName name="_m1704" hidden="1">Productivity!$L$109</definedName>
    <definedName name="_m1705" hidden="1">Productivity!$E$112</definedName>
    <definedName name="_m1706" hidden="1">Productivity!$F$112</definedName>
    <definedName name="_m1707" hidden="1">Productivity!$I$112</definedName>
    <definedName name="_m1708" hidden="1">Productivity!$L$112</definedName>
    <definedName name="_m1709" hidden="1">Productivity!$E$113</definedName>
    <definedName name="_m1710" hidden="1">Productivity!$F$113</definedName>
    <definedName name="_m1711" hidden="1">Productivity!$I$113</definedName>
    <definedName name="_m1712" hidden="1">Productivity!$L$113</definedName>
    <definedName name="_m1715" hidden="1">Productivity!$I$114</definedName>
    <definedName name="_m1716" hidden="1">Productivity!$L$114</definedName>
    <definedName name="_m1722" hidden="1">Productivity!$L$115</definedName>
    <definedName name="_m1723" hidden="1">Productivity!$E$118</definedName>
    <definedName name="_m1724" hidden="1">Productivity!$F$118</definedName>
    <definedName name="_m1725" hidden="1">Productivity!$I$118</definedName>
    <definedName name="_m1726" hidden="1">Productivity!$L$118</definedName>
    <definedName name="_m1729" hidden="1">Productivity!$I$119</definedName>
    <definedName name="_m1730" hidden="1">Productivity!$L$119</definedName>
    <definedName name="_m1736" hidden="1">Productivity!$L$120</definedName>
    <definedName name="_m1737" hidden="1">Productivity!$E$123</definedName>
    <definedName name="_m1738" hidden="1">Productivity!$F$123</definedName>
    <definedName name="_m1739" hidden="1">Productivity!$I$123</definedName>
    <definedName name="_m1740" hidden="1">Productivity!$L$123</definedName>
    <definedName name="_m1741" hidden="1">Productivity!$E$124</definedName>
    <definedName name="_m1742" hidden="1">Productivity!$F$124</definedName>
    <definedName name="_m1743" hidden="1">Productivity!$I$124</definedName>
    <definedName name="_m1744" hidden="1">Productivity!$L$124</definedName>
    <definedName name="_m1745" hidden="1">Productivity!$D$125</definedName>
    <definedName name="_m1748" hidden="1">Productivity!$I$125</definedName>
    <definedName name="_m1749" hidden="1">Productivity!$L$125</definedName>
    <definedName name="_m1755" hidden="1">Productivity!$L$126</definedName>
    <definedName name="_m1761" hidden="1">Productivity!$E$132</definedName>
    <definedName name="_m1762" hidden="1">Productivity!$F$132</definedName>
    <definedName name="_m1763" hidden="1">Productivity!$I$132</definedName>
    <definedName name="_m1764" hidden="1">Productivity!$L$132</definedName>
    <definedName name="_m1765" hidden="1">Productivity!$E$133</definedName>
    <definedName name="_m1766" hidden="1">Productivity!$F$133</definedName>
    <definedName name="_m1767" hidden="1">Productivity!$I$133</definedName>
    <definedName name="_m1768" hidden="1">Productivity!$L$133</definedName>
    <definedName name="_m1771" hidden="1">Productivity!$I$134</definedName>
    <definedName name="_m1772" hidden="1">Productivity!$L$134</definedName>
    <definedName name="_m1778" hidden="1">Productivity!$L$135</definedName>
    <definedName name="_m1779" hidden="1">Productivity!$E$138</definedName>
    <definedName name="_m1780" hidden="1">Productivity!$F$138</definedName>
    <definedName name="_m1781" hidden="1">Productivity!$I$138</definedName>
    <definedName name="_m1782" hidden="1">Productivity!$L$138</definedName>
    <definedName name="_m1785" hidden="1">Productivity!$I$139</definedName>
    <definedName name="_m1786" hidden="1">Productivity!$L$139</definedName>
    <definedName name="_m1792" hidden="1">Productivity!$L$140</definedName>
    <definedName name="_m1793" hidden="1">Productivity!$E$143</definedName>
    <definedName name="_m1794" hidden="1">Productivity!$F$143</definedName>
    <definedName name="_m1795" hidden="1">Productivity!$I$143</definedName>
    <definedName name="_m1796" hidden="1">Productivity!$L$143</definedName>
    <definedName name="_m1799" hidden="1">Productivity!$I$144</definedName>
    <definedName name="_m1800" hidden="1">Productivity!$L$144</definedName>
    <definedName name="_m1806" hidden="1">Productivity!$L$145</definedName>
    <definedName name="_m1807" hidden="1">Productivity!$E$148</definedName>
    <definedName name="_m1808" hidden="1">Productivity!$F$148</definedName>
    <definedName name="_m1809" hidden="1">Productivity!$I$148</definedName>
    <definedName name="_m1810" hidden="1">Productivity!$L$148</definedName>
    <definedName name="_m1811" hidden="1">Productivity!$E$149</definedName>
    <definedName name="_m1812" hidden="1">Productivity!$F$149</definedName>
    <definedName name="_m1813" hidden="1">Productivity!$I$149</definedName>
    <definedName name="_m1814" hidden="1">Productivity!$L$149</definedName>
    <definedName name="_m1815" hidden="1">Productivity!$D$150</definedName>
    <definedName name="_m1818" hidden="1">Productivity!$I$150</definedName>
    <definedName name="_m1819" hidden="1">Productivity!$L$150</definedName>
    <definedName name="_m1825" hidden="1">Productivity!$L$151</definedName>
    <definedName name="_m1831" hidden="1">Productivity!$E$157</definedName>
    <definedName name="_m1832" hidden="1">Productivity!$F$157</definedName>
    <definedName name="_m1833" hidden="1">Productivity!$I$157</definedName>
    <definedName name="_m1834" hidden="1">Productivity!$L$157</definedName>
    <definedName name="_m1835" hidden="1">Productivity!$E$158</definedName>
    <definedName name="_m1836" hidden="1">Productivity!$F$158</definedName>
    <definedName name="_m1837" hidden="1">Productivity!$I$158</definedName>
    <definedName name="_m1838" hidden="1">Productivity!$L$158</definedName>
    <definedName name="_m1839" hidden="1">Productivity!$E$159</definedName>
    <definedName name="_m1840" hidden="1">Productivity!$F$159</definedName>
    <definedName name="_m1841" hidden="1">Productivity!$I$159</definedName>
    <definedName name="_m1842" hidden="1">Productivity!$L$159</definedName>
    <definedName name="_m1843" hidden="1">Productivity!$E$160</definedName>
    <definedName name="_m1844" hidden="1">Productivity!$F$160</definedName>
    <definedName name="_m1845" hidden="1">Productivity!$I$160</definedName>
    <definedName name="_m1846" hidden="1">Productivity!$L$160</definedName>
    <definedName name="_m1849" hidden="1">Productivity!$I$161</definedName>
    <definedName name="_m1850" hidden="1">Productivity!$L$161</definedName>
    <definedName name="_m1851" hidden="1">Productivity!$L$162</definedName>
    <definedName name="_m1852" hidden="1">Productivity!$E$165</definedName>
    <definedName name="_m1853" hidden="1">Productivity!$F$165</definedName>
    <definedName name="_m1854" hidden="1">Productivity!$I$165</definedName>
    <definedName name="_m1855" hidden="1">Productivity!$L$165</definedName>
    <definedName name="_m1856" hidden="1">Productivity!$E$166</definedName>
    <definedName name="_m1857" hidden="1">Productivity!$F$166</definedName>
    <definedName name="_m1858" hidden="1">Productivity!$I$166</definedName>
    <definedName name="_m1859" hidden="1">Productivity!$L$166</definedName>
    <definedName name="_m1862" hidden="1">Productivity!$I$167</definedName>
    <definedName name="_m1863" hidden="1">Productivity!$L$167</definedName>
    <definedName name="_m1864" hidden="1">Productivity!$L$168</definedName>
    <definedName name="_m1865" hidden="1">Productivity!$E$171</definedName>
    <definedName name="_m1866" hidden="1">Productivity!$F$171</definedName>
    <definedName name="_m1867" hidden="1">Productivity!$I$171</definedName>
    <definedName name="_m1868" hidden="1">Productivity!$L$171</definedName>
    <definedName name="_m1869" hidden="1">Productivity!$E$172</definedName>
    <definedName name="_m1870" hidden="1">Productivity!$F$172</definedName>
    <definedName name="_m1871" hidden="1">Productivity!$I$172</definedName>
    <definedName name="_m1872" hidden="1">Productivity!$L$172</definedName>
    <definedName name="_m1873" hidden="1">Productivity!$E$173</definedName>
    <definedName name="_m1874" hidden="1">Productivity!$F$173</definedName>
    <definedName name="_m1875" hidden="1">Productivity!$I$173</definedName>
    <definedName name="_m1876" hidden="1">Productivity!$L$173</definedName>
    <definedName name="_m1879" hidden="1">Productivity!$I$174</definedName>
    <definedName name="_m1880" hidden="1">Productivity!$L$174</definedName>
    <definedName name="_m1881" hidden="1">Productivity!$L$175</definedName>
    <definedName name="_m1882" hidden="1">Productivity!$E$178</definedName>
    <definedName name="_m1883" hidden="1">Productivity!$F$178</definedName>
    <definedName name="_m1884" hidden="1">Productivity!$I$178</definedName>
    <definedName name="_m1885" hidden="1">Productivity!$L$178</definedName>
    <definedName name="_m1886" hidden="1">Productivity!$E$179</definedName>
    <definedName name="_m1887" hidden="1">Productivity!$F$179</definedName>
    <definedName name="_m1888" hidden="1">Productivity!$I$179</definedName>
    <definedName name="_m1889" hidden="1">Productivity!$L$179</definedName>
    <definedName name="_m1892" hidden="1">Productivity!$I$180</definedName>
    <definedName name="_m1893" hidden="1">Productivity!$L$180</definedName>
    <definedName name="_m1894" hidden="1">Productivity!$L$181</definedName>
    <definedName name="_m1895" hidden="1">Productivity!$E$184</definedName>
    <definedName name="_m1896" hidden="1">Productivity!$F$184</definedName>
    <definedName name="_m1897" hidden="1">Productivity!$I$184</definedName>
    <definedName name="_m1898" hidden="1">Productivity!$L$184</definedName>
    <definedName name="_m1901" hidden="1">Productivity!$I$185</definedName>
    <definedName name="_m1902" hidden="1">Productivity!$L$185</definedName>
    <definedName name="_m1903" hidden="1">Productivity!$L$186</definedName>
    <definedName name="_m1904" hidden="1">Productivity!$E$189</definedName>
    <definedName name="_m1905" hidden="1">Productivity!$F$189</definedName>
    <definedName name="_m1906" hidden="1">Productivity!$I$189</definedName>
    <definedName name="_m1907" hidden="1">Productivity!$L$189</definedName>
    <definedName name="_m1910" hidden="1">Productivity!$I$190</definedName>
    <definedName name="_m1911" hidden="1">Productivity!$L$190</definedName>
    <definedName name="_m1912" hidden="1">Productivity!$L$191</definedName>
    <definedName name="_m1913" hidden="1">Productivity!$E$277</definedName>
    <definedName name="_m1914" hidden="1">Revenue!$F$6</definedName>
    <definedName name="_m1915" hidden="1">Revenue!$G$6</definedName>
    <definedName name="_m1916" hidden="1">Revenue!$H$6</definedName>
    <definedName name="_m1917" hidden="1">Revenue!$I$6</definedName>
    <definedName name="_m1918" hidden="1">Revenue!$J$6</definedName>
    <definedName name="_m1919" hidden="1">Revenue!$K$6</definedName>
    <definedName name="_m1920" hidden="1">Revenue!$L$6</definedName>
    <definedName name="_m1921" hidden="1">Revenue!$B$7</definedName>
    <definedName name="_m1922" hidden="1">Revenue!$C$7</definedName>
    <definedName name="_m1923" hidden="1">Revenue!$E$7</definedName>
    <definedName name="_m1924" hidden="1">Revenue!$F$7</definedName>
    <definedName name="_m1925" hidden="1">Revenue!$G$7</definedName>
    <definedName name="_m1926" hidden="1">Revenue!$H$7</definedName>
    <definedName name="_m1927" hidden="1">Revenue!$I$7</definedName>
    <definedName name="_m1928" hidden="1">Revenue!$J$7</definedName>
    <definedName name="_m1929" hidden="1">Revenue!$K$7</definedName>
    <definedName name="_m1930" hidden="1">Revenue!$L$7</definedName>
    <definedName name="_m1931" hidden="1">Revenue!$N$7</definedName>
    <definedName name="_m1932" hidden="1">Revenue!$B$8</definedName>
    <definedName name="_m1933" hidden="1">Revenue!$C$8</definedName>
    <definedName name="_m1934" hidden="1">Revenue!$E$8</definedName>
    <definedName name="_m1935" hidden="1">Revenue!$F$8</definedName>
    <definedName name="_m1936" hidden="1">Revenue!$G$8</definedName>
    <definedName name="_m1937" hidden="1">Revenue!$H$8</definedName>
    <definedName name="_m1938" hidden="1">Revenue!$I$8</definedName>
    <definedName name="_m1939" hidden="1">Revenue!$J$8</definedName>
    <definedName name="_m1940" hidden="1">Revenue!$K$8</definedName>
    <definedName name="_m1941" hidden="1">Revenue!$L$8</definedName>
    <definedName name="_m1942" hidden="1">Revenue!$N$8</definedName>
    <definedName name="_m1943" hidden="1">Revenue!$B$9</definedName>
    <definedName name="_m1944" hidden="1">Revenue!$C$9</definedName>
    <definedName name="_m1945" hidden="1">Revenue!$E$9</definedName>
    <definedName name="_m1946" hidden="1">Revenue!$F$9</definedName>
    <definedName name="_m1947" hidden="1">Revenue!$G$9</definedName>
    <definedName name="_m1948" hidden="1">Revenue!$H$9</definedName>
    <definedName name="_m1949" hidden="1">Revenue!$I$9</definedName>
    <definedName name="_m1950" hidden="1">Revenue!$J$9</definedName>
    <definedName name="_m1951" hidden="1">Revenue!$K$9</definedName>
    <definedName name="_m1952" hidden="1">Revenue!$L$9</definedName>
    <definedName name="_m1953" hidden="1">Revenue!$N$9</definedName>
    <definedName name="_m1954" hidden="1">Revenue!$B$10</definedName>
    <definedName name="_m1955" hidden="1">Revenue!$C$10</definedName>
    <definedName name="_m1956" hidden="1">Revenue!$E$10</definedName>
    <definedName name="_m1957" hidden="1">Revenue!$F$10</definedName>
    <definedName name="_m1958" hidden="1">Revenue!$G$10</definedName>
    <definedName name="_m1959" hidden="1">Revenue!$H$10</definedName>
    <definedName name="_m1960" hidden="1">Revenue!$I$10</definedName>
    <definedName name="_m1961" hidden="1">Revenue!$J$10</definedName>
    <definedName name="_m1962" hidden="1">Revenue!$K$10</definedName>
    <definedName name="_m1963" hidden="1">Revenue!$L$10</definedName>
    <definedName name="_m1964" hidden="1">Revenue!$N$10</definedName>
    <definedName name="_m1965" hidden="1">Revenue!$B$11</definedName>
    <definedName name="_m1966" hidden="1">Revenue!$C$11</definedName>
    <definedName name="_m1967" hidden="1">Revenue!$E$11</definedName>
    <definedName name="_m1968" hidden="1">Revenue!$F$11</definedName>
    <definedName name="_m1969" hidden="1">Revenue!$G$11</definedName>
    <definedName name="_m1970" hidden="1">Revenue!$H$11</definedName>
    <definedName name="_m1971" hidden="1">Revenue!$I$11</definedName>
    <definedName name="_m1972" hidden="1">Revenue!$J$11</definedName>
    <definedName name="_m1973" hidden="1">Revenue!$K$11</definedName>
    <definedName name="_m1974" hidden="1">Revenue!$L$11</definedName>
    <definedName name="_m1975" hidden="1">Revenue!$N$11</definedName>
    <definedName name="_m1976" hidden="1">Revenue!$B$12</definedName>
    <definedName name="_m1977" hidden="1">Revenue!$C$12</definedName>
    <definedName name="_m1978" hidden="1">Revenue!$E$12</definedName>
    <definedName name="_m1979" hidden="1">Revenue!$F$12</definedName>
    <definedName name="_m1980" hidden="1">Revenue!$G$12</definedName>
    <definedName name="_m1981" hidden="1">Revenue!$H$12</definedName>
    <definedName name="_m1982" hidden="1">Revenue!$I$12</definedName>
    <definedName name="_m1983" hidden="1">Revenue!$J$12</definedName>
    <definedName name="_m1984" hidden="1">Revenue!$K$12</definedName>
    <definedName name="_m1985" hidden="1">Revenue!$L$12</definedName>
    <definedName name="_m1986" hidden="1">Revenue!$N$12</definedName>
    <definedName name="_m1987" hidden="1">Revenue!$B$13</definedName>
    <definedName name="_m1988" hidden="1">Revenue!$C$13</definedName>
    <definedName name="_m1989" hidden="1">Revenue!$E$13</definedName>
    <definedName name="_m1990" hidden="1">Revenue!$F$13</definedName>
    <definedName name="_m1991" hidden="1">Revenue!$G$13</definedName>
    <definedName name="_m1992" hidden="1">Revenue!$H$13</definedName>
    <definedName name="_m1993" hidden="1">Revenue!$I$13</definedName>
    <definedName name="_m1994" hidden="1">Revenue!$J$13</definedName>
    <definedName name="_m1995" hidden="1">Revenue!$K$13</definedName>
    <definedName name="_m1996" hidden="1">Revenue!$L$13</definedName>
    <definedName name="_m1997" hidden="1">Revenue!$N$13</definedName>
    <definedName name="_m1998" hidden="1">Revenue!$B$14</definedName>
    <definedName name="_m1999" hidden="1">Revenue!$C$14</definedName>
    <definedName name="_m2000" hidden="1">Revenue!$E$14</definedName>
    <definedName name="_m2001" hidden="1">Revenue!$F$14</definedName>
    <definedName name="_m2002" hidden="1">Revenue!$G$14</definedName>
    <definedName name="_m2003" hidden="1">Revenue!$H$14</definedName>
    <definedName name="_m2004" hidden="1">Revenue!$I$14</definedName>
    <definedName name="_m2005" hidden="1">Revenue!$J$14</definedName>
    <definedName name="_m2006" hidden="1">Revenue!$K$14</definedName>
    <definedName name="_m2007" hidden="1">Revenue!$L$14</definedName>
    <definedName name="_m2008" hidden="1">Revenue!$N$14</definedName>
    <definedName name="_m2009" hidden="1">Revenue!$B$15</definedName>
    <definedName name="_m2010" hidden="1">Revenue!$E$15</definedName>
    <definedName name="_m2011" hidden="1">Revenue!$F$15</definedName>
    <definedName name="_m2012" hidden="1">Revenue!$G$15</definedName>
    <definedName name="_m2013" hidden="1">Revenue!$H$15</definedName>
    <definedName name="_m2014" hidden="1">Revenue!$I$15</definedName>
    <definedName name="_m2015" hidden="1">Revenue!$J$15</definedName>
    <definedName name="_m2016" hidden="1">Revenue!$K$15</definedName>
    <definedName name="_m2017" hidden="1">Revenue!$L$15</definedName>
    <definedName name="_m2018" hidden="1">Revenue!$N$15</definedName>
    <definedName name="_m2025" hidden="1">KPIs!$D$8</definedName>
    <definedName name="_m2026" hidden="1">KPIs!$E$8</definedName>
    <definedName name="_m2027" hidden="1">KPIs!$F$8</definedName>
    <definedName name="_m2028" hidden="1">KPIs!$G$8</definedName>
    <definedName name="_m2029" hidden="1">KPIs!$K$8</definedName>
    <definedName name="_m2032" hidden="1">KPIs!$D$9</definedName>
    <definedName name="_m2033" hidden="1">KPIs!$E$9</definedName>
    <definedName name="_m2034" hidden="1">KPIs!$F$9</definedName>
    <definedName name="_m2035" hidden="1">KPIs!$G$9</definedName>
    <definedName name="_m2036" hidden="1">KPIs!$K$9</definedName>
    <definedName name="_m2039" hidden="1">KPIs!$D$10</definedName>
    <definedName name="_m2040" hidden="1">KPIs!$E$10</definedName>
    <definedName name="_m2041" hidden="1">KPIs!$F$10</definedName>
    <definedName name="_m2042" hidden="1">KPIs!$G$10</definedName>
    <definedName name="_m2043" hidden="1">KPIs!$K$10</definedName>
    <definedName name="_m2046" hidden="1">KPIs!$D$11</definedName>
    <definedName name="_m2047" hidden="1">KPIs!$E$11</definedName>
    <definedName name="_m2048" hidden="1">KPIs!$F$11</definedName>
    <definedName name="_m2049" hidden="1">KPIs!$G$11</definedName>
    <definedName name="_m2050" hidden="1">KPIs!$K$11</definedName>
    <definedName name="_m2056" hidden="1">KPIs!$D$13</definedName>
    <definedName name="_m2057" hidden="1">KPIs!$E$13</definedName>
    <definedName name="_m2058" hidden="1">KPIs!$F$13</definedName>
    <definedName name="_m2059" hidden="1">KPIs!$G$13</definedName>
    <definedName name="_m2060" hidden="1">KPIs!$K$13</definedName>
    <definedName name="_m2063" hidden="1">KPIs!$D$14</definedName>
    <definedName name="_m2064" hidden="1">KPIs!$E$14</definedName>
    <definedName name="_m2065" hidden="1">KPIs!$F$14</definedName>
    <definedName name="_m2066" hidden="1">KPIs!$G$14</definedName>
    <definedName name="_m2067" hidden="1">KPIs!$K$14</definedName>
    <definedName name="_m2070" hidden="1">KPIs!$D$15</definedName>
    <definedName name="_m2071" hidden="1">KPIs!$E$15</definedName>
    <definedName name="_m2072" hidden="1">KPIs!$F$15</definedName>
    <definedName name="_m2073" hidden="1">KPIs!$G$15</definedName>
    <definedName name="_m2074" hidden="1">KPIs!$K$15</definedName>
    <definedName name="_m2077" hidden="1">KPIs!$D$16</definedName>
    <definedName name="_m2078" hidden="1">KPIs!$E$16</definedName>
    <definedName name="_m2079" hidden="1">KPIs!$F$16</definedName>
    <definedName name="_m2080" hidden="1">KPIs!$G$16</definedName>
    <definedName name="_m2081" hidden="1">KPIs!$K$16</definedName>
    <definedName name="_m2084" hidden="1">KPIs!$D$17</definedName>
    <definedName name="_m2085" hidden="1">KPIs!$E$17</definedName>
    <definedName name="_m2086" hidden="1">KPIs!$F$17</definedName>
    <definedName name="_m2087" hidden="1">KPIs!$G$17</definedName>
    <definedName name="_m2088" hidden="1">KPIs!$K$17</definedName>
    <definedName name="_m2091" hidden="1">KPIs!$D$18</definedName>
    <definedName name="_m2092" hidden="1">KPIs!$E$18</definedName>
    <definedName name="_m2093" hidden="1">KPIs!$F$18</definedName>
    <definedName name="_m2094" hidden="1">KPIs!$G$18</definedName>
    <definedName name="_m2095" hidden="1">KPIs!$K$18</definedName>
    <definedName name="_m2098" hidden="1">KPIs!$D$19</definedName>
    <definedName name="_m2099" hidden="1">KPIs!$E$19</definedName>
    <definedName name="_m2100" hidden="1">KPIs!$F$19</definedName>
    <definedName name="_m2101" hidden="1">KPIs!$G$19</definedName>
    <definedName name="_m2102" hidden="1">KPIs!$K$19</definedName>
    <definedName name="_m2105" hidden="1">KPIs!$D$21</definedName>
    <definedName name="_m2106" hidden="1">KPIs!$E$21</definedName>
    <definedName name="_m2107" hidden="1">KPIs!$F$21</definedName>
    <definedName name="_m2108" hidden="1">KPIs!$G$21</definedName>
    <definedName name="_m2109" hidden="1">KPIs!$K$21</definedName>
    <definedName name="_m2112" hidden="1">KPIs!$D$22</definedName>
    <definedName name="_m2113" hidden="1">KPIs!$E$22</definedName>
    <definedName name="_m2114" hidden="1">KPIs!$F$22</definedName>
    <definedName name="_m2115" hidden="1">KPIs!$G$22</definedName>
    <definedName name="_m2116" hidden="1">KPIs!$K$22</definedName>
    <definedName name="_m2119" hidden="1">KPIs!$D$23</definedName>
    <definedName name="_m2120" hidden="1">KPIs!$E$23</definedName>
    <definedName name="_m2121" hidden="1">KPIs!$F$23</definedName>
    <definedName name="_m2122" hidden="1">KPIs!$G$23</definedName>
    <definedName name="_m2123" hidden="1">KPIs!$K$23</definedName>
    <definedName name="_m2126" hidden="1">KPIs!$D$24</definedName>
    <definedName name="_m2127" hidden="1">KPIs!$E$24</definedName>
    <definedName name="_m2128" hidden="1">KPIs!$F$24</definedName>
    <definedName name="_m2129" hidden="1">KPIs!$G$24</definedName>
    <definedName name="_m2130" hidden="1">KPIs!$K$24</definedName>
    <definedName name="_m2133" hidden="1">KPIs!$D$25</definedName>
    <definedName name="_m2134" hidden="1">KPIs!$E$25</definedName>
    <definedName name="_m2135" hidden="1">KPIs!$F$25</definedName>
    <definedName name="_m2136" hidden="1">KPIs!$G$25</definedName>
    <definedName name="_m2137" hidden="1">KPIs!$K$25</definedName>
    <definedName name="_m2140" hidden="1">KPIs!$D$26</definedName>
    <definedName name="_m2141" hidden="1">KPIs!$E$26</definedName>
    <definedName name="_m2142" hidden="1">KPIs!$F$26</definedName>
    <definedName name="_m2143" hidden="1">KPIs!$G$26</definedName>
    <definedName name="_m2144" hidden="1">KPIs!$K$26</definedName>
    <definedName name="_m2147" hidden="1">KPIs!$D$27</definedName>
    <definedName name="_m2148" hidden="1">KPIs!$E$27</definedName>
    <definedName name="_m2149" hidden="1">KPIs!$F$27</definedName>
    <definedName name="_m2150" hidden="1">KPIs!$G$27</definedName>
    <definedName name="_m2151" hidden="1">KPIs!$K$27</definedName>
    <definedName name="_m2154" hidden="1">KPIs!$D$29</definedName>
    <definedName name="_m2155" hidden="1">KPIs!$E$29</definedName>
    <definedName name="_m2156" hidden="1">KPIs!$F$29</definedName>
    <definedName name="_m2157" hidden="1">KPIs!$G$29</definedName>
    <definedName name="_m2158" hidden="1">KPIs!$K$29</definedName>
    <definedName name="_m2161" hidden="1">KPIs!$D$30</definedName>
    <definedName name="_m2162" hidden="1">KPIs!$E$30</definedName>
    <definedName name="_m2163" hidden="1">KPIs!$F$30</definedName>
    <definedName name="_m2164" hidden="1">KPIs!$G$30</definedName>
    <definedName name="_m2165" hidden="1">KPIs!$K$30</definedName>
    <definedName name="_m2168" hidden="1">KPIs!$D$31</definedName>
    <definedName name="_m2169" hidden="1">KPIs!$E$31</definedName>
    <definedName name="_m2170" hidden="1">KPIs!$F$31</definedName>
    <definedName name="_m2171" hidden="1">KPIs!$G$31</definedName>
    <definedName name="_m2172" hidden="1">KPIs!$K$31</definedName>
    <definedName name="_m2175" hidden="1">KPIs!$D$32</definedName>
    <definedName name="_m2176" hidden="1">KPIs!$E$32</definedName>
    <definedName name="_m2177" hidden="1">KPIs!$F$32</definedName>
    <definedName name="_m2178" hidden="1">KPIs!$G$32</definedName>
    <definedName name="_m2179" hidden="1">KPIs!$K$32</definedName>
    <definedName name="_m2182" hidden="1">KPIs!$D$33</definedName>
    <definedName name="_m2183" hidden="1">KPIs!$E$33</definedName>
    <definedName name="_m2184" hidden="1">KPIs!$F$33</definedName>
    <definedName name="_m2185" hidden="1">KPIs!$G$33</definedName>
    <definedName name="_m2186" hidden="1">KPIs!$K$33</definedName>
    <definedName name="_m2189" hidden="1">KPIs!$D$34</definedName>
    <definedName name="_m2190" hidden="1">KPIs!$E$34</definedName>
    <definedName name="_m2191" hidden="1">KPIs!$F$34</definedName>
    <definedName name="_m2192" hidden="1">KPIs!$G$34</definedName>
    <definedName name="_m2193" hidden="1">KPIs!$K$34</definedName>
    <definedName name="_m2196" hidden="1">KPIs!$D$35</definedName>
    <definedName name="_m2197" hidden="1">KPIs!$E$35</definedName>
    <definedName name="_m2198" hidden="1">KPIs!$F$35</definedName>
    <definedName name="_m2199" hidden="1">KPIs!$G$35</definedName>
    <definedName name="_m2200" hidden="1">KPIs!$K$35</definedName>
    <definedName name="_m2201" hidden="1">KPIs!$E$70</definedName>
    <definedName name="_m944" hidden="1">Profile!$D$7</definedName>
    <definedName name="_m945" hidden="1">Profile!$D$9</definedName>
    <definedName name="_m946" hidden="1">Profile!$D$11</definedName>
    <definedName name="_m947" hidden="1">Profile!$C$14</definedName>
    <definedName name="_m948" hidden="1">Profile!$C$16</definedName>
    <definedName name="_m950" hidden="1">Profile!$D$19</definedName>
    <definedName name="_m951" hidden="1">Profile!$D$20</definedName>
    <definedName name="_m952" hidden="1">Profile!$D$23</definedName>
    <definedName name="_m953" hidden="1">Profile!$D$28</definedName>
    <definedName name="_m954" hidden="1">Profile!$D$29</definedName>
    <definedName name="_m955" hidden="1">Profile!$D$30</definedName>
    <definedName name="_m956" hidden="1">Profile!$D$31</definedName>
    <definedName name="_m957" hidden="1">Profile!$D$36</definedName>
    <definedName name="_m958" hidden="1">Profile!$D$37</definedName>
    <definedName name="_m959" hidden="1">Profile!$D$38</definedName>
    <definedName name="_m960" hidden="1">Profile!$D$39</definedName>
    <definedName name="_m961" hidden="1">Profile!$C$43</definedName>
    <definedName name="_m962" hidden="1">Profile!$C$45</definedName>
    <definedName name="_m963" hidden="1">Profile!$D$50</definedName>
    <definedName name="_m964" hidden="1">Profile!$D$52</definedName>
    <definedName name="_m965" hidden="1">Profile!$D$54</definedName>
    <definedName name="_m966" hidden="1">Profile!$D$57</definedName>
    <definedName name="_m967" hidden="1">Profile!$D$60</definedName>
    <definedName name="_m968" hidden="1">Profile!$D$61</definedName>
    <definedName name="_m969" hidden="1">Profile!$D$63</definedName>
    <definedName name="_m970" hidden="1">Profile!$D$66</definedName>
    <definedName name="_m971" hidden="1">Profile!$D$67</definedName>
    <definedName name="_m972" hidden="1">Profile!$D$68</definedName>
    <definedName name="_m973" hidden="1">Profile!$D$75</definedName>
    <definedName name="_m974" hidden="1">Profile!$D$81</definedName>
    <definedName name="_m975" hidden="1">Profile!$D$82</definedName>
    <definedName name="_m976" hidden="1">Profile!$D$84</definedName>
    <definedName name="_m977" hidden="1">Profile!$D$89</definedName>
    <definedName name="_m978" hidden="1">Profile!$D$90</definedName>
    <definedName name="_m979" hidden="1">Profile!$D$91</definedName>
    <definedName name="_m980" hidden="1">Profile!$D$92</definedName>
    <definedName name="_m981" hidden="1">Profile!$D$93</definedName>
    <definedName name="_m982" hidden="1">Profile!$D$94</definedName>
    <definedName name="_m983" hidden="1">Profile!$D$95</definedName>
    <definedName name="_m984" hidden="1">Profile!$D$96</definedName>
    <definedName name="_m985" hidden="1">Profile!$D$101</definedName>
    <definedName name="_m986" hidden="1">Profile!$D$102</definedName>
    <definedName name="_m987" hidden="1">Costs!$C$81</definedName>
    <definedName name="_m988" hidden="1">Costs!$D$81</definedName>
    <definedName name="_m989" hidden="1">Costs!$E$81</definedName>
    <definedName name="_m990" hidden="1">Costs!$F$81</definedName>
    <definedName name="_m991" hidden="1">Costs!$G$81</definedName>
    <definedName name="_m992" hidden="1">Costs!$I$81</definedName>
    <definedName name="_m993" hidden="1">Costs!$C$82</definedName>
    <definedName name="_m994" hidden="1">Costs!$D$82</definedName>
    <definedName name="_m995" hidden="1">Costs!$E$82</definedName>
    <definedName name="_m996" hidden="1">Costs!$F$82</definedName>
    <definedName name="_m997" hidden="1">Costs!$G$82</definedName>
    <definedName name="_m998" hidden="1">Costs!$I$82</definedName>
    <definedName name="_m999" hidden="1">Costs!$C$83</definedName>
    <definedName name="AssessmentAccuracy">Refrc!$B$255</definedName>
    <definedName name="AssessmentAccuracyList">Refrc!$B$251:$B$254</definedName>
    <definedName name="AssessmentPurpose">Refrc!$B$247</definedName>
    <definedName name="AssessmentPurposeList">Refrc!$B$240:$B$246</definedName>
    <definedName name="BaseLaborComp">Refrc!$D$191</definedName>
    <definedName name="BICapabilitiesAdoption">Profile!$S$25:$S$29</definedName>
    <definedName name="BurdenRate">Profile!$D$81</definedName>
    <definedName name="BurdenRateDefault">Refrc!$H$176</definedName>
    <definedName name="CashFlow">ROI!$D$133:$L$146</definedName>
    <definedName name="CashFlowStats">ROI!$D$102:$G$108</definedName>
    <definedName name="CompatMessage">Welcome!$C$2</definedName>
    <definedName name="CoNameDefault">Refrc!$I$6</definedName>
    <definedName name="CopyRight">Welcome!$C$61</definedName>
    <definedName name="CostDetails">ROI!$C$152:$J$173</definedName>
    <definedName name="Country">Profile!$D$23</definedName>
    <definedName name="CountryDefault">Refrc!$I$9</definedName>
    <definedName name="CountryLaborCostScalar">Refrc!$G$170</definedName>
    <definedName name="CountryList">Refrc!$B$119:$B$169</definedName>
    <definedName name="dCF1b">OFFSET(ROI!$F$134,0,0,1 + Duration,1)</definedName>
    <definedName name="dCFb">OFFSET(ROI!$H$134,0,0,1 + Duration,1)</definedName>
    <definedName name="dCFc">OFFSET(ROI!$E$134,0,0,1 + Duration,1)</definedName>
    <definedName name="dCFneg">OFFSET('Rpt Cntnt'!$E$56:$E$69,0,0,4 + Duration,1)</definedName>
    <definedName name="dCFper">OFFSET(ROI!$D$134,0,0,1 + Duration,1)</definedName>
    <definedName name="dCFpos">OFFSET('Rpt Cntnt'!$F$56:$F$69,0,0,4 + Duration,1)</definedName>
    <definedName name="dCFYr">OFFSET('Rpt Cntnt'!$D$56:$D$69,0,0,4 + Duration,1)</definedName>
    <definedName name="DropDown1">[1]Temp!$F$3:$F$6</definedName>
    <definedName name="DropDown2">[1]Temp!$G$3:$G$6</definedName>
    <definedName name="Duration">Profile!$D$57</definedName>
    <definedName name="DurationDefault">Test!$E$6</definedName>
    <definedName name="Employees">Profile!$D$28</definedName>
    <definedName name="EmployeesDefault">Refrc!$I$10</definedName>
    <definedName name="ExchangeRate">Refrc!$C$41</definedName>
    <definedName name="GrowthRate">Profile!$D$54</definedName>
    <definedName name="GrowthRateDefault">Refrc!$I$21</definedName>
    <definedName name="ImportanceList">[2]Ref!$C$35:$C$39</definedName>
    <definedName name="Industry">Profile!$D$20</definedName>
    <definedName name="IndustryDefault">Refrc!$I$8</definedName>
    <definedName name="IndustryList">Refrc!$B$64:$B$93</definedName>
    <definedName name="IssueSignificanceList">[3]Details!$R$7:$R$9</definedName>
    <definedName name="ITFTECost">TCO!$E$103</definedName>
    <definedName name="ITSpend">TCO!$F$8</definedName>
    <definedName name="ITSpendDefault">Refrc!$I$52</definedName>
    <definedName name="ITStaff">TCO!$F$14</definedName>
    <definedName name="ITStaffCompDefault">Refrc!$H$205:$H$212</definedName>
    <definedName name="ITStaffDefault">Refrc!$I$58</definedName>
    <definedName name="ITStaffMix">Refrc!$V$95</definedName>
    <definedName name="IWCompDefault">Refrc!$H$194</definedName>
    <definedName name="IWLaborCostScalar">Refrc!$E$194</definedName>
    <definedName name="IWMix">Profile!$D$75</definedName>
    <definedName name="IWMixDefault">Refrc!$K$95</definedName>
    <definedName name="IWRate">Profile!$H$101</definedName>
    <definedName name="IWs">Profile!$E$75</definedName>
    <definedName name="IWSalary">Profile!$F$101</definedName>
    <definedName name="IWWRate">Profile!$G$101</definedName>
    <definedName name="KPIList">KPIs!$C$114:$C$138</definedName>
    <definedName name="Margin">Profile!$D$50</definedName>
    <definedName name="MaturityLevelList">Refrc!$B$260:$B$264</definedName>
    <definedName name="NetMarginDefault">Refrc!$I$18</definedName>
    <definedName name="OpProfitDefault">Refrc!$I$17</definedName>
    <definedName name="OrgFins">Profile!$C$50:$H$55</definedName>
    <definedName name="OrgSizeLaborCostScalar">Refrc!$D$229</definedName>
    <definedName name="PCs">Profile!$D$31</definedName>
    <definedName name="PCsDefault">Refrc!$I$13</definedName>
    <definedName name="PCUserMix">Refrc!$J$94</definedName>
    <definedName name="PCUsers">Profile!$D$30</definedName>
    <definedName name="PCUsersDefault">Refrc!$I$12</definedName>
    <definedName name="PersonnelProfile">Profile!$B$73:$H$106</definedName>
    <definedName name="PowerUserMix">Refrc!$L$95</definedName>
    <definedName name="PriceScalar">Refrc!$L$170</definedName>
    <definedName name="_xlnm.Print_Area" localSheetId="3">Costs!$A$2:$J$191</definedName>
    <definedName name="_xlnm.Print_Area" localSheetId="5">'Direct Savings'!$A$2:$K$147</definedName>
    <definedName name="_xlnm.Print_Area" localSheetId="8">KPIs!$A$2:$L$97</definedName>
    <definedName name="_xlnm.Print_Area" localSheetId="6">Productivity!$A$2:$Q$312</definedName>
    <definedName name="_xlnm.Print_Area" localSheetId="1">Profile!$A$2:$Q$109</definedName>
    <definedName name="_xlnm.Print_Area" localSheetId="7">Revenue!$A$2:$O$40</definedName>
    <definedName name="_xlnm.Print_Area" localSheetId="9">ROI!$A$2:$N$409</definedName>
    <definedName name="_xlnm.Print_Area" localSheetId="2">Solution!$A$2:$D$27</definedName>
    <definedName name="_xlnm.Print_Area" localSheetId="4">TCO!$A$2:$M$131</definedName>
    <definedName name="_xlnm.Print_Area" localSheetId="0">Welcome!$A$4:$I$61</definedName>
    <definedName name="_xlnm.Print_Titles" localSheetId="3">Costs!$2:$2</definedName>
    <definedName name="_xlnm.Print_Titles" localSheetId="5">'Direct Savings'!$2:$2</definedName>
    <definedName name="_xlnm.Print_Titles" localSheetId="8">KPIs!$2:$2</definedName>
    <definedName name="_xlnm.Print_Titles" localSheetId="6">Productivity!$2:$2</definedName>
    <definedName name="_xlnm.Print_Titles" localSheetId="9">ROI!$2:$2</definedName>
    <definedName name="_xlnm.Print_Titles" localSheetId="2">Solution!$2:$2</definedName>
    <definedName name="ProjectDescription">Profile!$C$14</definedName>
    <definedName name="ProjectFins">Profile!$C$57:$H$69</definedName>
    <definedName name="ProjectScaleList">Refrc!$B$233:$B$235</definedName>
    <definedName name="ProjectScaleScalar">Refrc!$C$236</definedName>
    <definedName name="ProjectScaleSelected">Profile!$D$9</definedName>
    <definedName name="ProjectTtlMultBen">ROI!$Q$158</definedName>
    <definedName name="ProjectTtlMultCosts">ROI!$P$158</definedName>
    <definedName name="ProjectType">Profile!$D$7</definedName>
    <definedName name="ProjectTypeList">Test!$I$4:$AA$4</definedName>
    <definedName name="r_ScenTestCurrInputValue" hidden="1">Test!$F$130:$F$142</definedName>
    <definedName name="r_ScenTestDefaultFormula" hidden="1">Test!$G$130:$G$142</definedName>
    <definedName name="r_ScenTestInputs" hidden="1">Test!$I$130:$AE$130</definedName>
    <definedName name="r_ScenTestOutputsCurrent" hidden="1">Test!$F$145:$F$195</definedName>
    <definedName name="ReportDev">[2]Ref!$C$28:$C$31</definedName>
    <definedName name="Revenue">Profile!$D$29</definedName>
    <definedName name="RevenueDefault">Refrc!$I$11</definedName>
    <definedName name="RevPerEmployee">Refrc!$T$95</definedName>
    <definedName name="rpt_BenefitsSum">ROI!$B$75:$J$95</definedName>
    <definedName name="rpt_CashFlowBullets">'Rpt Cntnt'!$D$22</definedName>
    <definedName name="rpt_CostBenSum">ROI!$D$19:$J$22</definedName>
    <definedName name="rpt_CostDetails">ROI!$D$152:$J$173</definedName>
    <definedName name="rpt_CostSum">ROI!$D$64:$J$70</definedName>
    <definedName name="rpt_DatePrep">ROI!$P$17</definedName>
    <definedName name="rpt_KPISum">ROI!$D$380:$G$386</definedName>
    <definedName name="rpt_OrgName">Profile!$D$19</definedName>
    <definedName name="rpt_OrgProfile">ROI!$D$47:$E$53</definedName>
    <definedName name="rpt_PreparedDate">'Rpt Cntnt'!$D$5</definedName>
    <definedName name="rpt_ProjectName">Profile!$D$11</definedName>
    <definedName name="rpt_ProjSum">'Rpt Cntnt'!$D$87:$E$89</definedName>
    <definedName name="rpt_RCSolutionSelected">'Rpt Cntnt'!$D$46</definedName>
    <definedName name="rpt_ROI_Summary">ROI!$D$7:$G$15</definedName>
    <definedName name="rpt_SolutionSum">ROI!$D$58:$K$60</definedName>
    <definedName name="rpt_TCOSum">ROI!$C$223:$H$235</definedName>
    <definedName name="rpt_TitleSlide">'Rpt Cntnt'!$D$6</definedName>
    <definedName name="Servers">'Direct Savings'!$E$63</definedName>
    <definedName name="SiteLocation">Profile!$D$84</definedName>
    <definedName name="SiteLocationList">Refrc!$B$217:$B$220</definedName>
    <definedName name="SiteScalar">Refrc!$C$221</definedName>
    <definedName name="SizeLaborScalar">Refrc!$D$229</definedName>
    <definedName name="SpendExtSvcsDefault">Refrc!$AG$98</definedName>
    <definedName name="SpendHWDefault">Refrc!$AD$98</definedName>
    <definedName name="SpendSWDefault">Refrc!$AE$98</definedName>
    <definedName name="SpendTelecomDefault">Refrc!$AH$98</definedName>
    <definedName name="StaffCostAnnIT">Profile!$F$97</definedName>
    <definedName name="StaffCostHourIT">Profile!$H$97</definedName>
    <definedName name="StaffCostWeekIT">Profile!$G$97</definedName>
    <definedName name="TaxRateDefault">Refrc!$I$19</definedName>
    <definedName name="TickerSymbolDefault">Refrc!$I$7</definedName>
    <definedName name="ToolTypeList">Profile!$D$71:$D$82</definedName>
    <definedName name="TWCompDefault">Refrc!$H$192</definedName>
    <definedName name="TWLaborCostScalar">Refrc!$E$192</definedName>
    <definedName name="TWMix">Profile!$D$76</definedName>
    <definedName name="TWRate">Profile!$H$102</definedName>
    <definedName name="TWs">Profile!$E$76</definedName>
    <definedName name="TWSalary">Profile!$F$102</definedName>
    <definedName name="TWWRate">Profile!$G$102</definedName>
    <definedName name="UserRate">Profile!$H$103</definedName>
    <definedName name="UserSalary">Profile!$F$103</definedName>
    <definedName name="UserWRate">Profile!$G$103</definedName>
    <definedName name="WACC">Profile!$D$52</definedName>
    <definedName name="WACCDefault">Refrc!$I$22</definedName>
    <definedName name="WorkHrs">Profile!$D$82</definedName>
    <definedName name="WorkHrsDefault">Refrc!$H$177</definedName>
  </definedNames>
  <calcPr calcId="179016" calcCompleted="0"/>
</workbook>
</file>

<file path=xl/calcChain.xml><?xml version="1.0" encoding="utf-8"?>
<calcChain xmlns="http://schemas.openxmlformats.org/spreadsheetml/2006/main">
  <c r="C109" i="7" l="1"/>
  <c r="E89" i="81"/>
  <c r="D89" i="81"/>
  <c r="E88" i="81"/>
  <c r="D88" i="81"/>
  <c r="E87" i="81"/>
  <c r="D87" i="81"/>
  <c r="D74" i="81"/>
  <c r="D73" i="81"/>
  <c r="E72" i="81"/>
  <c r="D82" i="81"/>
  <c r="D81" i="81"/>
  <c r="D80" i="81"/>
  <c r="D79" i="81"/>
  <c r="D78" i="81"/>
  <c r="D77" i="81"/>
  <c r="D76" i="81"/>
  <c r="D75" i="81"/>
  <c r="J58" i="81"/>
  <c r="I57" i="81"/>
  <c r="H57" i="81"/>
  <c r="H56" i="81"/>
  <c r="G56" i="81"/>
  <c r="F59" i="81"/>
  <c r="E59" i="81"/>
  <c r="F58" i="81"/>
  <c r="E58" i="81"/>
  <c r="F56" i="81"/>
  <c r="E56" i="81"/>
  <c r="D56" i="81"/>
  <c r="D19" i="7"/>
  <c r="I8" i="58"/>
  <c r="D11" i="7"/>
  <c r="F85" i="32"/>
  <c r="F84" i="32"/>
  <c r="F83" i="32"/>
  <c r="F82" i="32"/>
  <c r="F81" i="32"/>
  <c r="E33" i="81"/>
  <c r="D16" i="81"/>
  <c r="D17" i="81"/>
  <c r="D18" i="81"/>
  <c r="D19" i="81"/>
  <c r="D20" i="81"/>
  <c r="D15" i="81"/>
  <c r="D36" i="81"/>
  <c r="D35" i="81"/>
  <c r="E29" i="81"/>
  <c r="E11" i="81"/>
  <c r="D4" i="81"/>
  <c r="G41" i="81"/>
  <c r="G33" i="81"/>
  <c r="P17" i="60"/>
  <c r="D5" i="81"/>
  <c r="C268" i="58"/>
  <c r="C269" i="58"/>
  <c r="C270" i="58"/>
  <c r="C267" i="58"/>
  <c r="K10" i="55"/>
  <c r="G143" i="21"/>
  <c r="F143" i="21"/>
  <c r="G142" i="21"/>
  <c r="F142" i="21"/>
  <c r="G141" i="21"/>
  <c r="F141" i="21"/>
  <c r="G140" i="21"/>
  <c r="F140" i="21"/>
  <c r="G139" i="21"/>
  <c r="F139" i="21"/>
  <c r="G138" i="21"/>
  <c r="F138" i="21"/>
  <c r="G137" i="21"/>
  <c r="F137" i="21"/>
  <c r="G136" i="21"/>
  <c r="F136" i="21"/>
  <c r="G131" i="21"/>
  <c r="F131" i="21"/>
  <c r="G130" i="21"/>
  <c r="F130" i="21"/>
  <c r="G129" i="21"/>
  <c r="F129" i="21"/>
  <c r="G128" i="21"/>
  <c r="F128" i="21"/>
  <c r="E122" i="21"/>
  <c r="G112" i="21"/>
  <c r="F112" i="21"/>
  <c r="G111" i="21"/>
  <c r="F111" i="21"/>
  <c r="G110" i="21"/>
  <c r="F110" i="21"/>
  <c r="G109" i="21"/>
  <c r="F109" i="21"/>
  <c r="E98" i="21"/>
  <c r="F98" i="21"/>
  <c r="G88" i="21"/>
  <c r="F88" i="21"/>
  <c r="G87" i="21"/>
  <c r="F87" i="21"/>
  <c r="G86" i="21"/>
  <c r="F86" i="21"/>
  <c r="G85" i="21"/>
  <c r="F85" i="21"/>
  <c r="G84" i="21"/>
  <c r="F84" i="21"/>
  <c r="F79" i="21"/>
  <c r="G79" i="21"/>
  <c r="F78" i="21"/>
  <c r="G78" i="21"/>
  <c r="F77" i="21"/>
  <c r="G77" i="21"/>
  <c r="F75" i="21"/>
  <c r="F76" i="21"/>
  <c r="G76" i="21"/>
  <c r="F70" i="21"/>
  <c r="G70" i="21"/>
  <c r="F69" i="21"/>
  <c r="G69" i="21"/>
  <c r="F68" i="21"/>
  <c r="G68" i="21"/>
  <c r="F67" i="21"/>
  <c r="G67" i="21"/>
  <c r="F66" i="21"/>
  <c r="G66" i="21"/>
  <c r="G57" i="21"/>
  <c r="F57" i="21"/>
  <c r="G56" i="21"/>
  <c r="F56" i="21"/>
  <c r="G55" i="21"/>
  <c r="G54" i="21"/>
  <c r="F54" i="21"/>
  <c r="F53" i="21"/>
  <c r="G53" i="21"/>
  <c r="F52" i="21"/>
  <c r="G52" i="21"/>
  <c r="F162" i="32"/>
  <c r="E162" i="32"/>
  <c r="D162" i="32"/>
  <c r="F110" i="32"/>
  <c r="F109" i="32"/>
  <c r="G109" i="32"/>
  <c r="F108" i="32"/>
  <c r="G108" i="32"/>
  <c r="F107" i="32"/>
  <c r="G107" i="32"/>
  <c r="F106" i="32"/>
  <c r="G106" i="32"/>
  <c r="F103" i="32"/>
  <c r="F102" i="32"/>
  <c r="G102" i="32"/>
  <c r="F101" i="32"/>
  <c r="G101" i="32"/>
  <c r="F100" i="32"/>
  <c r="G100" i="32"/>
  <c r="F99" i="32"/>
  <c r="G99" i="32"/>
  <c r="F91" i="32"/>
  <c r="G91" i="32"/>
  <c r="F90" i="32"/>
  <c r="G90" i="32"/>
  <c r="F89" i="32"/>
  <c r="G89" i="32"/>
  <c r="F88" i="32"/>
  <c r="G88" i="32"/>
  <c r="G85" i="32"/>
  <c r="G84" i="32"/>
  <c r="G83" i="32"/>
  <c r="G82" i="32"/>
  <c r="G81" i="32"/>
  <c r="G75" i="21"/>
  <c r="D145" i="60"/>
  <c r="E244" i="60"/>
  <c r="E245" i="60"/>
  <c r="E246" i="60"/>
  <c r="E247" i="60"/>
  <c r="E243" i="60"/>
  <c r="D133" i="60"/>
  <c r="P114" i="60"/>
  <c r="Q114" i="60"/>
  <c r="B109" i="52"/>
  <c r="B108" i="52"/>
  <c r="B106" i="52"/>
  <c r="B105" i="52"/>
  <c r="C15" i="55"/>
  <c r="E190" i="51"/>
  <c r="F190" i="51"/>
  <c r="F185" i="51"/>
  <c r="E185" i="51"/>
  <c r="F180" i="51"/>
  <c r="E180" i="51"/>
  <c r="F174" i="51"/>
  <c r="E174" i="51"/>
  <c r="F167" i="51"/>
  <c r="E167" i="51"/>
  <c r="F161" i="51"/>
  <c r="E161" i="51"/>
  <c r="F150" i="51"/>
  <c r="E150" i="51"/>
  <c r="F144" i="51"/>
  <c r="E144" i="51"/>
  <c r="F139" i="51"/>
  <c r="E139" i="51"/>
  <c r="F134" i="51"/>
  <c r="E134" i="51"/>
  <c r="F125" i="51"/>
  <c r="E125" i="51"/>
  <c r="F119" i="51"/>
  <c r="E119" i="51"/>
  <c r="F114" i="51"/>
  <c r="E114" i="51"/>
  <c r="F108" i="51"/>
  <c r="E108" i="51"/>
  <c r="F100" i="51"/>
  <c r="E100" i="51"/>
  <c r="F41" i="51"/>
  <c r="E41" i="51"/>
  <c r="F33" i="51"/>
  <c r="E33" i="51"/>
  <c r="F27" i="51"/>
  <c r="E27" i="51"/>
  <c r="F18" i="51"/>
  <c r="E18" i="51"/>
  <c r="D310" i="51"/>
  <c r="C303" i="51"/>
  <c r="D301" i="51"/>
  <c r="D293" i="51"/>
  <c r="D287" i="51"/>
  <c r="D233" i="51"/>
  <c r="C226" i="51"/>
  <c r="D224" i="51"/>
  <c r="D216" i="51"/>
  <c r="D210" i="51"/>
  <c r="B197" i="51"/>
  <c r="C152" i="51"/>
  <c r="I195" i="51"/>
  <c r="C127" i="51"/>
  <c r="C147" i="51"/>
  <c r="C122" i="51"/>
  <c r="D28" i="51"/>
  <c r="D34" i="51"/>
  <c r="D42" i="51"/>
  <c r="S260" i="51"/>
  <c r="T260" i="51"/>
  <c r="T240" i="51"/>
  <c r="J203" i="51"/>
  <c r="N203" i="51"/>
  <c r="K203" i="51"/>
  <c r="O203" i="51"/>
  <c r="L203" i="51"/>
  <c r="P203" i="51"/>
  <c r="I203" i="51"/>
  <c r="M203" i="51"/>
  <c r="K94" i="51"/>
  <c r="K155" i="51"/>
  <c r="J94" i="51"/>
  <c r="J130" i="51"/>
  <c r="E154" i="51"/>
  <c r="G154" i="51"/>
  <c r="I154" i="51"/>
  <c r="J154" i="51"/>
  <c r="D155" i="51"/>
  <c r="F155" i="51"/>
  <c r="H155" i="51"/>
  <c r="E129" i="51"/>
  <c r="G129" i="51"/>
  <c r="I129" i="51"/>
  <c r="J129" i="51"/>
  <c r="D130" i="51"/>
  <c r="F130" i="51"/>
  <c r="H130" i="51"/>
  <c r="L94" i="51"/>
  <c r="L155" i="51"/>
  <c r="D144" i="21"/>
  <c r="D132" i="21"/>
  <c r="D113" i="21"/>
  <c r="D89" i="21"/>
  <c r="D80" i="21"/>
  <c r="D71" i="21"/>
  <c r="D58" i="21"/>
  <c r="D19" i="21"/>
  <c r="D21" i="21"/>
  <c r="C189" i="32"/>
  <c r="I181" i="32"/>
  <c r="I170" i="32"/>
  <c r="I157" i="32"/>
  <c r="I136" i="32"/>
  <c r="I118" i="32"/>
  <c r="I97" i="32"/>
  <c r="G33" i="32"/>
  <c r="D33" i="32"/>
  <c r="C16" i="61"/>
  <c r="D16" i="61"/>
  <c r="B16" i="61"/>
  <c r="C16" i="7"/>
  <c r="C14" i="7"/>
  <c r="K130" i="51"/>
  <c r="J155" i="51"/>
  <c r="L130" i="51"/>
  <c r="I6" i="52"/>
  <c r="H6" i="52"/>
  <c r="G40" i="52"/>
  <c r="F40" i="52"/>
  <c r="B44" i="52"/>
  <c r="B43" i="52"/>
  <c r="B42" i="52"/>
  <c r="B41" i="52"/>
  <c r="E60" i="60"/>
  <c r="E44" i="81"/>
  <c r="D60" i="60"/>
  <c r="D44" i="81"/>
  <c r="D59" i="60"/>
  <c r="D43" i="81"/>
  <c r="D58" i="60"/>
  <c r="D42" i="81"/>
  <c r="D53" i="60"/>
  <c r="D40" i="81"/>
  <c r="D52" i="60"/>
  <c r="D39" i="81"/>
  <c r="D51" i="60"/>
  <c r="D38" i="81"/>
  <c r="D50" i="60"/>
  <c r="D37" i="81"/>
  <c r="D47" i="60"/>
  <c r="D34" i="81"/>
  <c r="C188" i="58"/>
  <c r="C189" i="58"/>
  <c r="D191" i="58"/>
  <c r="C200" i="58"/>
  <c r="C201" i="58"/>
  <c r="C204" i="58"/>
  <c r="D205" i="58"/>
  <c r="F141" i="54"/>
  <c r="G44" i="81"/>
  <c r="G135" i="21"/>
  <c r="F135" i="21"/>
  <c r="E135" i="21"/>
  <c r="G127" i="21"/>
  <c r="F127" i="21"/>
  <c r="E127" i="21"/>
  <c r="G108" i="21"/>
  <c r="F108" i="21"/>
  <c r="E108" i="21"/>
  <c r="G83" i="21"/>
  <c r="F83" i="21"/>
  <c r="E83" i="21"/>
  <c r="G74" i="21"/>
  <c r="F74" i="21"/>
  <c r="E74" i="21"/>
  <c r="I135" i="21"/>
  <c r="I127" i="21"/>
  <c r="I108" i="21"/>
  <c r="I93" i="21"/>
  <c r="I83" i="21"/>
  <c r="I74" i="21"/>
  <c r="I65" i="21"/>
  <c r="T51" i="51"/>
  <c r="S73" i="51"/>
  <c r="T73" i="51"/>
  <c r="L27" i="7"/>
  <c r="L26" i="7"/>
  <c r="AG193" i="54"/>
  <c r="AF193" i="54"/>
  <c r="AG192" i="54"/>
  <c r="AF192" i="54"/>
  <c r="AG191" i="54"/>
  <c r="AF191" i="54"/>
  <c r="AG190" i="54"/>
  <c r="AF190" i="54"/>
  <c r="AG188" i="54"/>
  <c r="AF188" i="54"/>
  <c r="AG187" i="54"/>
  <c r="AF187" i="54"/>
  <c r="AG186" i="54"/>
  <c r="AF186" i="54"/>
  <c r="AG185" i="54"/>
  <c r="AF185" i="54"/>
  <c r="AG183" i="54"/>
  <c r="AF183" i="54"/>
  <c r="AG182" i="54"/>
  <c r="AF182" i="54"/>
  <c r="AG181" i="54"/>
  <c r="AF181" i="54"/>
  <c r="AG179" i="54"/>
  <c r="AF179" i="54"/>
  <c r="AG178" i="54"/>
  <c r="AF178" i="54"/>
  <c r="AG177" i="54"/>
  <c r="AF177" i="54"/>
  <c r="AG176" i="54"/>
  <c r="AF176" i="54"/>
  <c r="AG175" i="54"/>
  <c r="AF175" i="54"/>
  <c r="AG174" i="54"/>
  <c r="AF174" i="54"/>
  <c r="AG173" i="54"/>
  <c r="AF173" i="54"/>
  <c r="AG172" i="54"/>
  <c r="AF172" i="54"/>
  <c r="AG170" i="54"/>
  <c r="AF170" i="54"/>
  <c r="AG169" i="54"/>
  <c r="AF169" i="54"/>
  <c r="AG168" i="54"/>
  <c r="AF168" i="54"/>
  <c r="AG167" i="54"/>
  <c r="AF167" i="54"/>
  <c r="AG166" i="54"/>
  <c r="AF166" i="54"/>
  <c r="AG165" i="54"/>
  <c r="AF165" i="54"/>
  <c r="AG164" i="54"/>
  <c r="AF164" i="54"/>
  <c r="AG163" i="54"/>
  <c r="AF163" i="54"/>
  <c r="AG162" i="54"/>
  <c r="AF162" i="54"/>
  <c r="AG159" i="54"/>
  <c r="AF159" i="54"/>
  <c r="AG158" i="54"/>
  <c r="AF158" i="54"/>
  <c r="AG155" i="54"/>
  <c r="AF155" i="54"/>
  <c r="AG154" i="54"/>
  <c r="AF154" i="54"/>
  <c r="AG153" i="54"/>
  <c r="AF153" i="54"/>
  <c r="AG152" i="54"/>
  <c r="AF152" i="54"/>
  <c r="AG151" i="54"/>
  <c r="AF151" i="54"/>
  <c r="AG149" i="54"/>
  <c r="AF149" i="54"/>
  <c r="AG148" i="54"/>
  <c r="AF148" i="54"/>
  <c r="AG147" i="54"/>
  <c r="AF147" i="54"/>
  <c r="AG146" i="54"/>
  <c r="AF146" i="54"/>
  <c r="AG145" i="54"/>
  <c r="AF145" i="54"/>
  <c r="H259" i="58"/>
  <c r="G259" i="58"/>
  <c r="F259" i="58"/>
  <c r="E259" i="58"/>
  <c r="E271" i="58"/>
  <c r="D138" i="54"/>
  <c r="D139" i="54"/>
  <c r="D140" i="54"/>
  <c r="D137" i="54"/>
  <c r="D186" i="54"/>
  <c r="D191" i="54"/>
  <c r="D187" i="54"/>
  <c r="D192" i="54"/>
  <c r="D188" i="54"/>
  <c r="D193" i="54"/>
  <c r="D185" i="54"/>
  <c r="D190" i="54"/>
  <c r="E59" i="60"/>
  <c r="E43" i="81"/>
  <c r="G43" i="81"/>
  <c r="AA130" i="54"/>
  <c r="AB130" i="54"/>
  <c r="AC130" i="54"/>
  <c r="F135" i="54"/>
  <c r="F131" i="54"/>
  <c r="F130" i="54"/>
  <c r="D130" i="54"/>
  <c r="D131" i="54"/>
  <c r="D236" i="58"/>
  <c r="E236" i="58"/>
  <c r="G6" i="21"/>
  <c r="F6" i="21"/>
  <c r="I6" i="21"/>
  <c r="E6" i="21"/>
  <c r="H6" i="21"/>
  <c r="F6" i="32"/>
  <c r="H97" i="32"/>
  <c r="E6" i="32"/>
  <c r="F136" i="32"/>
  <c r="D6" i="32"/>
  <c r="E118" i="32"/>
  <c r="M18" i="7"/>
  <c r="G6" i="32"/>
  <c r="I6" i="32"/>
  <c r="E34" i="32"/>
  <c r="G34" i="32"/>
  <c r="I34" i="32"/>
  <c r="G79" i="32"/>
  <c r="F170" i="32"/>
  <c r="H170" i="32"/>
  <c r="E136" i="32"/>
  <c r="F118" i="32"/>
  <c r="H51" i="21"/>
  <c r="H93" i="21"/>
  <c r="H6" i="32"/>
  <c r="D34" i="32"/>
  <c r="F34" i="32"/>
  <c r="H34" i="32"/>
  <c r="F79" i="32"/>
  <c r="H79" i="32"/>
  <c r="G170" i="32"/>
  <c r="J6" i="21"/>
  <c r="H65" i="21"/>
  <c r="J345" i="60"/>
  <c r="I345" i="60"/>
  <c r="H345" i="60"/>
  <c r="G345" i="60"/>
  <c r="F345" i="60"/>
  <c r="E345" i="60"/>
  <c r="J296" i="60"/>
  <c r="I296" i="60"/>
  <c r="H296" i="60"/>
  <c r="G296" i="60"/>
  <c r="F296" i="60"/>
  <c r="E296" i="60"/>
  <c r="J252" i="60"/>
  <c r="I252" i="60"/>
  <c r="H252" i="60"/>
  <c r="G252" i="60"/>
  <c r="F252" i="60"/>
  <c r="E252" i="60"/>
  <c r="J242" i="60"/>
  <c r="I242" i="60"/>
  <c r="H242" i="60"/>
  <c r="G242" i="60"/>
  <c r="F242" i="60"/>
  <c r="E242" i="60"/>
  <c r="J153" i="60"/>
  <c r="I153" i="60"/>
  <c r="H153" i="60"/>
  <c r="G153" i="60"/>
  <c r="F153" i="60"/>
  <c r="E153" i="60"/>
  <c r="J76" i="60"/>
  <c r="I76" i="60"/>
  <c r="H76" i="60"/>
  <c r="G76" i="60"/>
  <c r="F76" i="60"/>
  <c r="E76" i="60"/>
  <c r="J65" i="60"/>
  <c r="I65" i="60"/>
  <c r="H65" i="60"/>
  <c r="G65" i="60"/>
  <c r="F65" i="60"/>
  <c r="E65" i="60"/>
  <c r="I20" i="60"/>
  <c r="J20" i="60"/>
  <c r="H20" i="60"/>
  <c r="E103" i="60"/>
  <c r="E15" i="81"/>
  <c r="G15" i="81"/>
  <c r="H135" i="21"/>
  <c r="H108" i="21"/>
  <c r="H83" i="21"/>
  <c r="H74" i="21"/>
  <c r="H127" i="21"/>
  <c r="G60" i="7"/>
  <c r="B276" i="58"/>
  <c r="F103" i="60"/>
  <c r="L134" i="60"/>
  <c r="G103" i="60"/>
  <c r="B279" i="58"/>
  <c r="D59" i="81"/>
  <c r="L135" i="60"/>
  <c r="L136" i="60"/>
  <c r="L137" i="60"/>
  <c r="L138" i="60"/>
  <c r="L139" i="60"/>
  <c r="L140" i="60"/>
  <c r="L141" i="60"/>
  <c r="L142" i="60"/>
  <c r="L143" i="60"/>
  <c r="L144" i="60"/>
  <c r="F104" i="60"/>
  <c r="B277" i="58"/>
  <c r="O134" i="60"/>
  <c r="O135" i="60"/>
  <c r="B280" i="58"/>
  <c r="D60" i="81"/>
  <c r="D57" i="81"/>
  <c r="O136" i="60"/>
  <c r="B281" i="58"/>
  <c r="D61" i="81"/>
  <c r="O137" i="60"/>
  <c r="B282" i="58"/>
  <c r="D62" i="81"/>
  <c r="O138" i="60"/>
  <c r="B283" i="58"/>
  <c r="D63" i="81"/>
  <c r="O139" i="60"/>
  <c r="B284" i="58"/>
  <c r="D64" i="81"/>
  <c r="O140" i="60"/>
  <c r="B285" i="58"/>
  <c r="D65" i="81"/>
  <c r="O141" i="60"/>
  <c r="B286" i="58"/>
  <c r="D66" i="81"/>
  <c r="O142" i="60"/>
  <c r="B287" i="58"/>
  <c r="D67" i="81"/>
  <c r="O143" i="60"/>
  <c r="B288" i="58"/>
  <c r="D68" i="81"/>
  <c r="O144" i="60"/>
  <c r="B289" i="58"/>
  <c r="D69" i="81"/>
  <c r="C11" i="32"/>
  <c r="C53" i="32"/>
  <c r="C178" i="32"/>
  <c r="C154" i="32"/>
  <c r="C146" i="32"/>
  <c r="C131" i="32"/>
  <c r="C112" i="32"/>
  <c r="C52" i="32"/>
  <c r="C111" i="32"/>
  <c r="C104" i="32"/>
  <c r="C92" i="32"/>
  <c r="B131" i="65"/>
  <c r="B130" i="52"/>
  <c r="C130" i="52"/>
  <c r="B124" i="52"/>
  <c r="C124" i="52"/>
  <c r="B115" i="52"/>
  <c r="C115" i="52"/>
  <c r="B116" i="52"/>
  <c r="C116" i="52"/>
  <c r="B117" i="52"/>
  <c r="C117" i="52"/>
  <c r="B118" i="52"/>
  <c r="C118" i="52"/>
  <c r="B119" i="52"/>
  <c r="C119" i="52"/>
  <c r="B120" i="52"/>
  <c r="C120" i="52"/>
  <c r="B121" i="52"/>
  <c r="C121" i="52"/>
  <c r="B122" i="52"/>
  <c r="C122" i="52"/>
  <c r="B123" i="52"/>
  <c r="C123" i="52"/>
  <c r="B125" i="52"/>
  <c r="C125" i="52"/>
  <c r="B126" i="52"/>
  <c r="C126" i="52"/>
  <c r="B127" i="52"/>
  <c r="C127" i="52"/>
  <c r="B128" i="52"/>
  <c r="C128" i="52"/>
  <c r="B129" i="52"/>
  <c r="C129" i="52"/>
  <c r="B131" i="52"/>
  <c r="C131" i="52"/>
  <c r="B132" i="52"/>
  <c r="C132" i="52"/>
  <c r="B133" i="52"/>
  <c r="C133" i="52"/>
  <c r="B134" i="52"/>
  <c r="C134" i="52"/>
  <c r="B135" i="52"/>
  <c r="C135" i="52"/>
  <c r="B136" i="52"/>
  <c r="C136" i="52"/>
  <c r="B137" i="52"/>
  <c r="C137" i="52"/>
  <c r="B138" i="52"/>
  <c r="C138" i="52"/>
  <c r="M19" i="52"/>
  <c r="M26" i="52"/>
  <c r="C38" i="32"/>
  <c r="C48" i="32"/>
  <c r="C42" i="32"/>
  <c r="F270" i="58"/>
  <c r="D270" i="58"/>
  <c r="F268" i="58"/>
  <c r="D268" i="58"/>
  <c r="F267" i="58"/>
  <c r="D267" i="58"/>
  <c r="F269" i="58"/>
  <c r="D269" i="58"/>
  <c r="F27" i="52"/>
  <c r="F26" i="52"/>
  <c r="H26" i="52"/>
  <c r="F25" i="52"/>
  <c r="H25" i="52"/>
  <c r="F24" i="52"/>
  <c r="H24" i="52"/>
  <c r="F23" i="52"/>
  <c r="H23" i="52"/>
  <c r="F22" i="52"/>
  <c r="H22" i="52"/>
  <c r="F21" i="52"/>
  <c r="F11" i="52"/>
  <c r="F10" i="52"/>
  <c r="F9" i="52"/>
  <c r="F8" i="52"/>
  <c r="F19" i="52"/>
  <c r="F18" i="52"/>
  <c r="F17" i="52"/>
  <c r="F16" i="52"/>
  <c r="F15" i="52"/>
  <c r="F14" i="52"/>
  <c r="F13" i="52"/>
  <c r="F35" i="52"/>
  <c r="H35" i="52"/>
  <c r="F34" i="52"/>
  <c r="H34" i="52"/>
  <c r="F33" i="52"/>
  <c r="F32" i="52"/>
  <c r="F31" i="52"/>
  <c r="H31" i="52"/>
  <c r="F30" i="52"/>
  <c r="H30" i="52"/>
  <c r="F29" i="52"/>
  <c r="H29" i="52"/>
  <c r="D271" i="58"/>
  <c r="I51" i="58"/>
  <c r="H13" i="52"/>
  <c r="H17" i="52"/>
  <c r="H8" i="52"/>
  <c r="H9" i="52"/>
  <c r="H16" i="52"/>
  <c r="H18" i="52"/>
  <c r="H27" i="52"/>
  <c r="H10" i="52"/>
  <c r="H21" i="52"/>
  <c r="H32" i="52"/>
  <c r="H11" i="52"/>
  <c r="H14" i="52"/>
  <c r="H15" i="52"/>
  <c r="H19" i="52"/>
  <c r="H33" i="52"/>
  <c r="F43" i="52"/>
  <c r="F187" i="54"/>
  <c r="F44" i="52"/>
  <c r="F188" i="54"/>
  <c r="F41" i="52"/>
  <c r="F42" i="52"/>
  <c r="F186" i="54"/>
  <c r="H223" i="60"/>
  <c r="G223" i="60"/>
  <c r="F223" i="60"/>
  <c r="E223" i="60"/>
  <c r="J49" i="65"/>
  <c r="I49" i="65"/>
  <c r="H49" i="65"/>
  <c r="G49" i="65"/>
  <c r="K50" i="65"/>
  <c r="J50" i="65"/>
  <c r="I50" i="65"/>
  <c r="H50" i="65"/>
  <c r="G50" i="65"/>
  <c r="F50" i="65"/>
  <c r="E50" i="65"/>
  <c r="P30" i="65"/>
  <c r="C224" i="60"/>
  <c r="C230" i="60"/>
  <c r="D226" i="60"/>
  <c r="D227" i="60"/>
  <c r="D228" i="60"/>
  <c r="D229" i="60"/>
  <c r="D231" i="60"/>
  <c r="D232" i="60"/>
  <c r="D233" i="60"/>
  <c r="D234" i="60"/>
  <c r="D235" i="60"/>
  <c r="D225" i="60"/>
  <c r="F185" i="54"/>
  <c r="E152" i="60"/>
  <c r="AI95" i="58"/>
  <c r="K206" i="58"/>
  <c r="K207" i="58"/>
  <c r="K208" i="58"/>
  <c r="K209" i="58"/>
  <c r="K210" i="58"/>
  <c r="K211" i="58"/>
  <c r="K212" i="58"/>
  <c r="K205" i="58"/>
  <c r="D206" i="58"/>
  <c r="D207" i="58"/>
  <c r="D208" i="58"/>
  <c r="D209" i="58"/>
  <c r="D210" i="58"/>
  <c r="D211" i="58"/>
  <c r="D212" i="58"/>
  <c r="J58" i="58"/>
  <c r="J49" i="58"/>
  <c r="D169" i="58"/>
  <c r="D156" i="58"/>
  <c r="D155" i="58"/>
  <c r="D154" i="58"/>
  <c r="D146" i="58"/>
  <c r="D142" i="58"/>
  <c r="D143" i="58"/>
  <c r="D144" i="58"/>
  <c r="D145" i="58"/>
  <c r="D138" i="58"/>
  <c r="D139" i="58"/>
  <c r="D140" i="58"/>
  <c r="D141" i="58"/>
  <c r="D127" i="58"/>
  <c r="D120" i="58"/>
  <c r="D121" i="58"/>
  <c r="D122" i="58"/>
  <c r="D123" i="58"/>
  <c r="D124" i="58"/>
  <c r="D125" i="58"/>
  <c r="D126" i="58"/>
  <c r="D128" i="58"/>
  <c r="D129" i="58"/>
  <c r="D130" i="58"/>
  <c r="D131" i="58"/>
  <c r="D132" i="58"/>
  <c r="D133" i="58"/>
  <c r="D134" i="58"/>
  <c r="D135" i="58"/>
  <c r="D136" i="58"/>
  <c r="D137" i="58"/>
  <c r="D147" i="58"/>
  <c r="D148" i="58"/>
  <c r="D149" i="58"/>
  <c r="D150" i="58"/>
  <c r="D151" i="58"/>
  <c r="D152" i="58"/>
  <c r="D153" i="58"/>
  <c r="D157" i="58"/>
  <c r="D158" i="58"/>
  <c r="D159" i="58"/>
  <c r="D160" i="58"/>
  <c r="D161" i="58"/>
  <c r="D162" i="58"/>
  <c r="D163" i="58"/>
  <c r="D164" i="58"/>
  <c r="D165" i="58"/>
  <c r="D166" i="58"/>
  <c r="D167" i="58"/>
  <c r="D168" i="58"/>
  <c r="C96" i="65"/>
  <c r="C97" i="65"/>
  <c r="C98" i="65"/>
  <c r="C99" i="65"/>
  <c r="C100" i="65"/>
  <c r="C101" i="65"/>
  <c r="C102" i="65"/>
  <c r="C95" i="65"/>
  <c r="E90" i="65"/>
  <c r="E76" i="65"/>
  <c r="E77" i="65"/>
  <c r="E69" i="65"/>
  <c r="E70" i="65"/>
  <c r="E63" i="65"/>
  <c r="E64" i="65"/>
  <c r="E91" i="65"/>
  <c r="G10" i="58"/>
  <c r="E56" i="65"/>
  <c r="C27" i="65"/>
  <c r="C26" i="65"/>
  <c r="C24" i="65"/>
  <c r="C25" i="65"/>
  <c r="C23" i="65"/>
  <c r="C22" i="65"/>
  <c r="D244" i="60"/>
  <c r="D163" i="54"/>
  <c r="D245" i="60"/>
  <c r="D164" i="54"/>
  <c r="D243" i="60"/>
  <c r="D162" i="54"/>
  <c r="D246" i="60"/>
  <c r="D165" i="54"/>
  <c r="D247" i="60"/>
  <c r="D166" i="54"/>
  <c r="E57" i="65"/>
  <c r="E58" i="60"/>
  <c r="E42" i="81"/>
  <c r="G42" i="81"/>
  <c r="B236" i="58"/>
  <c r="C236" i="58"/>
  <c r="S84" i="58"/>
  <c r="S86" i="58"/>
  <c r="S80" i="58"/>
  <c r="S73" i="58"/>
  <c r="S69" i="58"/>
  <c r="S68" i="58"/>
  <c r="S92" i="58"/>
  <c r="S82" i="58"/>
  <c r="S90" i="58"/>
  <c r="S66" i="58"/>
  <c r="B221" i="58"/>
  <c r="C221" i="58"/>
  <c r="C183" i="58"/>
  <c r="H119" i="58"/>
  <c r="I119" i="58"/>
  <c r="J119" i="58"/>
  <c r="H120" i="58"/>
  <c r="I120" i="58"/>
  <c r="J120" i="58"/>
  <c r="H121" i="58"/>
  <c r="I121" i="58"/>
  <c r="J121" i="58"/>
  <c r="H122" i="58"/>
  <c r="I122" i="58"/>
  <c r="J122" i="58"/>
  <c r="H123" i="58"/>
  <c r="I123" i="58"/>
  <c r="J123" i="58"/>
  <c r="H124" i="58"/>
  <c r="I124" i="58"/>
  <c r="J124" i="58"/>
  <c r="H125" i="58"/>
  <c r="I125" i="58"/>
  <c r="J125" i="58"/>
  <c r="H126" i="58"/>
  <c r="I126" i="58"/>
  <c r="J126" i="58"/>
  <c r="H127" i="58"/>
  <c r="I127" i="58"/>
  <c r="J127" i="58"/>
  <c r="H128" i="58"/>
  <c r="I128" i="58"/>
  <c r="J128" i="58"/>
  <c r="H129" i="58"/>
  <c r="I129" i="58"/>
  <c r="J129" i="58"/>
  <c r="H130" i="58"/>
  <c r="I130" i="58"/>
  <c r="J130" i="58"/>
  <c r="H131" i="58"/>
  <c r="I131" i="58"/>
  <c r="J131" i="58"/>
  <c r="H132" i="58"/>
  <c r="I132" i="58"/>
  <c r="J132" i="58"/>
  <c r="H133" i="58"/>
  <c r="I133" i="58"/>
  <c r="J133" i="58"/>
  <c r="H134" i="58"/>
  <c r="I134" i="58"/>
  <c r="J134" i="58"/>
  <c r="H135" i="58"/>
  <c r="I135" i="58"/>
  <c r="J135" i="58"/>
  <c r="H136" i="58"/>
  <c r="I136" i="58"/>
  <c r="J136" i="58"/>
  <c r="H137" i="58"/>
  <c r="I137" i="58"/>
  <c r="J137" i="58"/>
  <c r="H138" i="58"/>
  <c r="I138" i="58"/>
  <c r="J138" i="58"/>
  <c r="H139" i="58"/>
  <c r="I139" i="58"/>
  <c r="J139" i="58"/>
  <c r="H140" i="58"/>
  <c r="I140" i="58"/>
  <c r="J140" i="58"/>
  <c r="H141" i="58"/>
  <c r="I141" i="58"/>
  <c r="J141" i="58"/>
  <c r="H142" i="58"/>
  <c r="I142" i="58"/>
  <c r="J142" i="58"/>
  <c r="H143" i="58"/>
  <c r="I143" i="58"/>
  <c r="J143" i="58"/>
  <c r="H144" i="58"/>
  <c r="I144" i="58"/>
  <c r="J144" i="58"/>
  <c r="H146" i="58"/>
  <c r="I146" i="58"/>
  <c r="J146" i="58"/>
  <c r="H147" i="58"/>
  <c r="I147" i="58"/>
  <c r="J147" i="58"/>
  <c r="H148" i="58"/>
  <c r="I148" i="58"/>
  <c r="J148" i="58"/>
  <c r="H149" i="58"/>
  <c r="I149" i="58"/>
  <c r="J149" i="58"/>
  <c r="H150" i="58"/>
  <c r="I150" i="58"/>
  <c r="J150" i="58"/>
  <c r="H151" i="58"/>
  <c r="I151" i="58"/>
  <c r="J151" i="58"/>
  <c r="H152" i="58"/>
  <c r="I152" i="58"/>
  <c r="J152" i="58"/>
  <c r="H153" i="58"/>
  <c r="I153" i="58"/>
  <c r="J153" i="58"/>
  <c r="H154" i="58"/>
  <c r="I154" i="58"/>
  <c r="J154" i="58"/>
  <c r="H155" i="58"/>
  <c r="I155" i="58"/>
  <c r="J155" i="58"/>
  <c r="H156" i="58"/>
  <c r="I156" i="58"/>
  <c r="J156" i="58"/>
  <c r="H157" i="58"/>
  <c r="I157" i="58"/>
  <c r="J157" i="58"/>
  <c r="H158" i="58"/>
  <c r="I158" i="58"/>
  <c r="J158" i="58"/>
  <c r="H159" i="58"/>
  <c r="I159" i="58"/>
  <c r="J159" i="58"/>
  <c r="H160" i="58"/>
  <c r="I160" i="58"/>
  <c r="J160" i="58"/>
  <c r="H161" i="58"/>
  <c r="I161" i="58"/>
  <c r="J161" i="58"/>
  <c r="H162" i="58"/>
  <c r="I162" i="58"/>
  <c r="J162" i="58"/>
  <c r="H163" i="58"/>
  <c r="I163" i="58"/>
  <c r="J163" i="58"/>
  <c r="H164" i="58"/>
  <c r="I164" i="58"/>
  <c r="J164" i="58"/>
  <c r="H165" i="58"/>
  <c r="I165" i="58"/>
  <c r="J165" i="58"/>
  <c r="H166" i="58"/>
  <c r="I166" i="58"/>
  <c r="J166" i="58"/>
  <c r="H167" i="58"/>
  <c r="I167" i="58"/>
  <c r="J167" i="58"/>
  <c r="H169" i="58"/>
  <c r="I169" i="58"/>
  <c r="J169" i="58"/>
  <c r="I145" i="58"/>
  <c r="J145" i="58"/>
  <c r="H145" i="58"/>
  <c r="G168" i="58"/>
  <c r="H168" i="58"/>
  <c r="I168" i="58"/>
  <c r="J168" i="58"/>
  <c r="M120" i="58"/>
  <c r="M121" i="58"/>
  <c r="M122" i="58"/>
  <c r="M123" i="58"/>
  <c r="M124" i="58"/>
  <c r="M125" i="58"/>
  <c r="M126" i="58"/>
  <c r="M127" i="58"/>
  <c r="M128" i="58"/>
  <c r="M129" i="58"/>
  <c r="M130" i="58"/>
  <c r="M131" i="58"/>
  <c r="M132" i="58"/>
  <c r="M133" i="58"/>
  <c r="M134" i="58"/>
  <c r="M135" i="58"/>
  <c r="M136" i="58"/>
  <c r="M137" i="58"/>
  <c r="M138" i="58"/>
  <c r="M139" i="58"/>
  <c r="M140" i="58"/>
  <c r="M141" i="58"/>
  <c r="M142" i="58"/>
  <c r="M143" i="58"/>
  <c r="M144" i="58"/>
  <c r="M145" i="58"/>
  <c r="M146" i="58"/>
  <c r="M147" i="58"/>
  <c r="M148" i="58"/>
  <c r="M149" i="58"/>
  <c r="M150" i="58"/>
  <c r="M151" i="58"/>
  <c r="M152" i="58"/>
  <c r="M153" i="58"/>
  <c r="M154" i="58"/>
  <c r="M155" i="58"/>
  <c r="M156" i="58"/>
  <c r="M157" i="58"/>
  <c r="M158" i="58"/>
  <c r="M159" i="58"/>
  <c r="M160" i="58"/>
  <c r="M161" i="58"/>
  <c r="M162" i="58"/>
  <c r="M163" i="58"/>
  <c r="M164" i="58"/>
  <c r="M165" i="58"/>
  <c r="M166" i="58"/>
  <c r="M167" i="58"/>
  <c r="M168" i="58"/>
  <c r="M169" i="58"/>
  <c r="L120" i="58"/>
  <c r="L121" i="58"/>
  <c r="L122" i="58"/>
  <c r="L123" i="58"/>
  <c r="L124" i="58"/>
  <c r="L125" i="58"/>
  <c r="L126" i="58"/>
  <c r="L127" i="58"/>
  <c r="L128" i="58"/>
  <c r="L129" i="58"/>
  <c r="L130" i="58"/>
  <c r="L131" i="58"/>
  <c r="L132" i="58"/>
  <c r="L133" i="58"/>
  <c r="L134" i="58"/>
  <c r="L135" i="58"/>
  <c r="L136" i="58"/>
  <c r="L137" i="58"/>
  <c r="L138" i="58"/>
  <c r="L139" i="58"/>
  <c r="L140" i="58"/>
  <c r="L141" i="58"/>
  <c r="L142" i="58"/>
  <c r="L143" i="58"/>
  <c r="L144" i="58"/>
  <c r="L145" i="58"/>
  <c r="L146" i="58"/>
  <c r="L147" i="58"/>
  <c r="L148" i="58"/>
  <c r="L149" i="58"/>
  <c r="L150" i="58"/>
  <c r="L151" i="58"/>
  <c r="L152" i="58"/>
  <c r="L153" i="58"/>
  <c r="L154" i="58"/>
  <c r="L155" i="58"/>
  <c r="L156" i="58"/>
  <c r="L157" i="58"/>
  <c r="L158" i="58"/>
  <c r="L159" i="58"/>
  <c r="L160" i="58"/>
  <c r="L161" i="58"/>
  <c r="L162" i="58"/>
  <c r="L163" i="58"/>
  <c r="L164" i="58"/>
  <c r="L165" i="58"/>
  <c r="L166" i="58"/>
  <c r="L167" i="58"/>
  <c r="L168" i="58"/>
  <c r="L169" i="58"/>
  <c r="B198" i="54"/>
  <c r="B409" i="60"/>
  <c r="B40" i="55"/>
  <c r="B312" i="51"/>
  <c r="B147" i="21"/>
  <c r="B191" i="32"/>
  <c r="B27" i="61"/>
  <c r="B291" i="58"/>
  <c r="B114" i="52"/>
  <c r="C114" i="52"/>
  <c r="B97" i="52"/>
  <c r="D100" i="52"/>
  <c r="D101" i="52"/>
  <c r="C103" i="52"/>
  <c r="C102" i="52"/>
  <c r="D108" i="52"/>
  <c r="E101" i="52"/>
  <c r="C105" i="52"/>
  <c r="C106" i="52"/>
  <c r="Z4" i="54"/>
  <c r="Z130" i="54"/>
  <c r="Y4" i="54"/>
  <c r="Y130" i="54"/>
  <c r="X4" i="54"/>
  <c r="X130" i="54"/>
  <c r="W4" i="54"/>
  <c r="W130" i="54"/>
  <c r="V4" i="54"/>
  <c r="V130" i="54"/>
  <c r="U4" i="54"/>
  <c r="U130" i="54"/>
  <c r="T4" i="54"/>
  <c r="T130" i="54"/>
  <c r="S4" i="54"/>
  <c r="S130" i="54"/>
  <c r="R4" i="54"/>
  <c r="R130" i="54"/>
  <c r="Q4" i="54"/>
  <c r="Q130" i="54"/>
  <c r="P4" i="54"/>
  <c r="P130" i="54"/>
  <c r="O4" i="54"/>
  <c r="O130" i="54"/>
  <c r="N4" i="54"/>
  <c r="N130" i="54"/>
  <c r="M4" i="54"/>
  <c r="M130" i="54"/>
  <c r="L4" i="54"/>
  <c r="L130" i="54"/>
  <c r="K4" i="54"/>
  <c r="K130" i="54"/>
  <c r="J4" i="54"/>
  <c r="I4" i="54"/>
  <c r="I130" i="54"/>
  <c r="J130" i="54"/>
  <c r="E2" i="54"/>
  <c r="E116" i="54"/>
  <c r="G9" i="58"/>
  <c r="X79" i="58"/>
  <c r="T79" i="58"/>
  <c r="B27" i="55"/>
  <c r="D352" i="60"/>
  <c r="B26" i="55"/>
  <c r="D351" i="60"/>
  <c r="B25" i="55"/>
  <c r="D350" i="60"/>
  <c r="B24" i="55"/>
  <c r="D349" i="60"/>
  <c r="B23" i="55"/>
  <c r="D348" i="60"/>
  <c r="B22" i="55"/>
  <c r="D347" i="60"/>
  <c r="B21" i="55"/>
  <c r="D346" i="60"/>
  <c r="F280" i="51"/>
  <c r="C217" i="51"/>
  <c r="C294" i="51"/>
  <c r="D308" i="51"/>
  <c r="C211" i="51"/>
  <c r="D230" i="51"/>
  <c r="S257" i="51"/>
  <c r="C204" i="51"/>
  <c r="D229" i="51"/>
  <c r="T237" i="51"/>
  <c r="F191" i="51"/>
  <c r="F186" i="51"/>
  <c r="F181" i="51"/>
  <c r="F175" i="51"/>
  <c r="E175" i="51"/>
  <c r="F168" i="51"/>
  <c r="F162" i="51"/>
  <c r="E162" i="51"/>
  <c r="E168" i="51"/>
  <c r="B154" i="51"/>
  <c r="D17" i="51"/>
  <c r="F151" i="51"/>
  <c r="F145" i="51"/>
  <c r="F140" i="51"/>
  <c r="F135" i="51"/>
  <c r="E135" i="51"/>
  <c r="B129" i="51"/>
  <c r="D16" i="51"/>
  <c r="F126" i="51"/>
  <c r="F120" i="51"/>
  <c r="F115" i="51"/>
  <c r="F109" i="51"/>
  <c r="E109" i="51"/>
  <c r="F101" i="51"/>
  <c r="E101" i="51"/>
  <c r="B93" i="51"/>
  <c r="D15" i="51"/>
  <c r="D44" i="51"/>
  <c r="B195" i="51"/>
  <c r="C225" i="51"/>
  <c r="F42" i="51"/>
  <c r="E42" i="51"/>
  <c r="D41" i="51"/>
  <c r="D223" i="51"/>
  <c r="D40" i="51"/>
  <c r="D222" i="51"/>
  <c r="D39" i="51"/>
  <c r="D221" i="51"/>
  <c r="D38" i="51"/>
  <c r="D220" i="51"/>
  <c r="D37" i="51"/>
  <c r="D219" i="51"/>
  <c r="D36" i="51"/>
  <c r="D218" i="51"/>
  <c r="F34" i="51"/>
  <c r="E34" i="51"/>
  <c r="D33" i="51"/>
  <c r="D215" i="51"/>
  <c r="D32" i="51"/>
  <c r="D214" i="51"/>
  <c r="D31" i="51"/>
  <c r="D213" i="51"/>
  <c r="D30" i="51"/>
  <c r="D212" i="51"/>
  <c r="F28" i="51"/>
  <c r="E28" i="51"/>
  <c r="D27" i="51"/>
  <c r="D209" i="51"/>
  <c r="D26" i="51"/>
  <c r="D208" i="51"/>
  <c r="D25" i="51"/>
  <c r="D207" i="51"/>
  <c r="D24" i="51"/>
  <c r="D206" i="51"/>
  <c r="D23" i="51"/>
  <c r="D205" i="51"/>
  <c r="F19" i="51"/>
  <c r="E19" i="51"/>
  <c r="H13" i="51"/>
  <c r="F13" i="51"/>
  <c r="D8" i="51"/>
  <c r="D7" i="51"/>
  <c r="D6" i="51"/>
  <c r="D5" i="51"/>
  <c r="F97" i="21"/>
  <c r="F99" i="21"/>
  <c r="E97" i="21"/>
  <c r="E99" i="21"/>
  <c r="F96" i="21"/>
  <c r="E96" i="21"/>
  <c r="C51" i="32"/>
  <c r="D170" i="60"/>
  <c r="C50" i="32"/>
  <c r="D169" i="60"/>
  <c r="B49" i="32"/>
  <c r="C10" i="32"/>
  <c r="C47" i="32"/>
  <c r="D166" i="60"/>
  <c r="C46" i="32"/>
  <c r="D165" i="60"/>
  <c r="C45" i="32"/>
  <c r="D164" i="60"/>
  <c r="C44" i="32"/>
  <c r="D163" i="60"/>
  <c r="B43" i="32"/>
  <c r="C9" i="32"/>
  <c r="C41" i="32"/>
  <c r="D160" i="60"/>
  <c r="C40" i="32"/>
  <c r="D159" i="60"/>
  <c r="B39" i="32"/>
  <c r="C8" i="32"/>
  <c r="C37" i="32"/>
  <c r="D156" i="60"/>
  <c r="C36" i="32"/>
  <c r="D155" i="60"/>
  <c r="B35" i="32"/>
  <c r="C7" i="32"/>
  <c r="F381" i="60"/>
  <c r="E381" i="60"/>
  <c r="E380" i="60"/>
  <c r="D382" i="60"/>
  <c r="H344" i="60"/>
  <c r="E344" i="60"/>
  <c r="H295" i="60"/>
  <c r="E295" i="60"/>
  <c r="H251" i="60"/>
  <c r="E251" i="60"/>
  <c r="H241" i="60"/>
  <c r="E241" i="60"/>
  <c r="L25" i="7"/>
  <c r="L24" i="7"/>
  <c r="L23" i="7"/>
  <c r="L22" i="7"/>
  <c r="L21" i="7"/>
  <c r="N18" i="7"/>
  <c r="AA29" i="54"/>
  <c r="AB29" i="54"/>
  <c r="AC29" i="54"/>
  <c r="E248" i="60"/>
  <c r="E77" i="60"/>
  <c r="C253" i="60"/>
  <c r="D86" i="60"/>
  <c r="D254" i="60"/>
  <c r="D255" i="60"/>
  <c r="D256" i="60"/>
  <c r="D257" i="60"/>
  <c r="D258" i="60"/>
  <c r="D259" i="60"/>
  <c r="D260" i="60"/>
  <c r="C261" i="60"/>
  <c r="D87" i="60"/>
  <c r="D262" i="60"/>
  <c r="D263" i="60"/>
  <c r="D264" i="60"/>
  <c r="D265" i="60"/>
  <c r="D267" i="60"/>
  <c r="D303" i="60"/>
  <c r="E303" i="60"/>
  <c r="D309" i="60"/>
  <c r="E309" i="60"/>
  <c r="E91" i="60"/>
  <c r="D317" i="60"/>
  <c r="E317" i="60"/>
  <c r="E92" i="60"/>
  <c r="D319" i="60"/>
  <c r="E353" i="60"/>
  <c r="E80" i="60"/>
  <c r="D383" i="60"/>
  <c r="D384" i="60"/>
  <c r="D385" i="60"/>
  <c r="D386" i="60"/>
  <c r="D77" i="60"/>
  <c r="D78" i="60"/>
  <c r="D79" i="60"/>
  <c r="D80" i="60"/>
  <c r="C84" i="60"/>
  <c r="C85" i="60"/>
  <c r="C89" i="60"/>
  <c r="C94" i="60"/>
  <c r="Z29" i="54"/>
  <c r="J29" i="54"/>
  <c r="K29" i="54"/>
  <c r="L29" i="54"/>
  <c r="M29" i="54"/>
  <c r="N29" i="54"/>
  <c r="O29" i="54"/>
  <c r="P29" i="54"/>
  <c r="Q29" i="54"/>
  <c r="R29" i="54"/>
  <c r="S29" i="54"/>
  <c r="T29" i="54"/>
  <c r="U29" i="54"/>
  <c r="V29" i="54"/>
  <c r="W29" i="54"/>
  <c r="X29" i="54"/>
  <c r="Y29" i="54"/>
  <c r="I29" i="54"/>
  <c r="M10" i="52"/>
  <c r="M30" i="52"/>
  <c r="M31" i="52"/>
  <c r="M32" i="52"/>
  <c r="E385" i="60"/>
  <c r="M22" i="52"/>
  <c r="M21" i="52"/>
  <c r="M35" i="52"/>
  <c r="M34" i="52"/>
  <c r="M33" i="52"/>
  <c r="M29" i="52"/>
  <c r="M11" i="52"/>
  <c r="M27" i="52"/>
  <c r="M25" i="52"/>
  <c r="M24" i="52"/>
  <c r="M23" i="52"/>
  <c r="M18" i="52"/>
  <c r="M17" i="52"/>
  <c r="M16" i="52"/>
  <c r="M9" i="52"/>
  <c r="M8" i="52"/>
  <c r="M15" i="52"/>
  <c r="M14" i="52"/>
  <c r="M13" i="52"/>
  <c r="I7" i="55"/>
  <c r="I8" i="55"/>
  <c r="I9" i="55"/>
  <c r="I10" i="55"/>
  <c r="I11" i="55"/>
  <c r="I12" i="55"/>
  <c r="I13" i="55"/>
  <c r="I14" i="55"/>
  <c r="D162" i="60"/>
  <c r="D68" i="60"/>
  <c r="C288" i="51"/>
  <c r="D307" i="51"/>
  <c r="C297" i="60"/>
  <c r="D90" i="60"/>
  <c r="D168" i="60"/>
  <c r="D69" i="60"/>
  <c r="E84" i="60"/>
  <c r="D154" i="60"/>
  <c r="D66" i="60"/>
  <c r="C310" i="60"/>
  <c r="D92" i="60"/>
  <c r="D231" i="51"/>
  <c r="T257" i="51"/>
  <c r="C281" i="51"/>
  <c r="D306" i="51"/>
  <c r="D158" i="60"/>
  <c r="D67" i="60"/>
  <c r="D291" i="51"/>
  <c r="D307" i="60"/>
  <c r="D297" i="51"/>
  <c r="D313" i="60"/>
  <c r="D285" i="51"/>
  <c r="D301" i="60"/>
  <c r="D289" i="51"/>
  <c r="D305" i="60"/>
  <c r="D299" i="51"/>
  <c r="D315" i="60"/>
  <c r="D283" i="51"/>
  <c r="D299" i="60"/>
  <c r="D295" i="51"/>
  <c r="D311" i="60"/>
  <c r="E181" i="51"/>
  <c r="E140" i="51"/>
  <c r="E145" i="51"/>
  <c r="E151" i="51"/>
  <c r="E115" i="51"/>
  <c r="E120" i="51"/>
  <c r="E126" i="51"/>
  <c r="E79" i="60"/>
  <c r="E90" i="60"/>
  <c r="E93" i="60"/>
  <c r="E319" i="60"/>
  <c r="E26" i="54"/>
  <c r="E37" i="54"/>
  <c r="E35" i="54"/>
  <c r="E44" i="54"/>
  <c r="E42" i="54"/>
  <c r="E50" i="54"/>
  <c r="E48" i="54"/>
  <c r="E55" i="54"/>
  <c r="E38" i="54"/>
  <c r="E36" i="54"/>
  <c r="E45" i="54"/>
  <c r="E43" i="54"/>
  <c r="E51" i="54"/>
  <c r="E49" i="54"/>
  <c r="E56" i="54"/>
  <c r="E104" i="54"/>
  <c r="E19" i="54"/>
  <c r="E58" i="54"/>
  <c r="E57" i="54"/>
  <c r="E16" i="54"/>
  <c r="E115" i="54"/>
  <c r="E62" i="54"/>
  <c r="E66" i="54"/>
  <c r="E67" i="54"/>
  <c r="E6" i="54"/>
  <c r="E76" i="54"/>
  <c r="E89" i="54"/>
  <c r="E64" i="54"/>
  <c r="E90" i="54"/>
  <c r="E105" i="54"/>
  <c r="E81" i="54"/>
  <c r="E117" i="54"/>
  <c r="E92" i="54"/>
  <c r="E65" i="54"/>
  <c r="E114" i="54"/>
  <c r="E25" i="54"/>
  <c r="E91" i="54"/>
  <c r="E123" i="54"/>
  <c r="E102" i="54"/>
  <c r="E74" i="54"/>
  <c r="E12" i="54"/>
  <c r="E77" i="54"/>
  <c r="E107" i="54"/>
  <c r="E21" i="54"/>
  <c r="D150" i="32"/>
  <c r="L19" i="7"/>
  <c r="E8" i="54"/>
  <c r="E7" i="54"/>
  <c r="E113" i="54"/>
  <c r="F7" i="55"/>
  <c r="F8" i="55"/>
  <c r="F9" i="55"/>
  <c r="F10" i="55"/>
  <c r="F11" i="55"/>
  <c r="F12" i="55"/>
  <c r="F13" i="55"/>
  <c r="F14" i="55"/>
  <c r="E98" i="54"/>
  <c r="E82" i="54"/>
  <c r="E72" i="54"/>
  <c r="E22" i="54"/>
  <c r="E124" i="54"/>
  <c r="E99" i="54"/>
  <c r="E73" i="54"/>
  <c r="E11" i="54"/>
  <c r="E103" i="54"/>
  <c r="E75" i="54"/>
  <c r="E15" i="54"/>
  <c r="E119" i="54"/>
  <c r="L7" i="55"/>
  <c r="L8" i="55"/>
  <c r="L9" i="55"/>
  <c r="L10" i="55"/>
  <c r="L11" i="55"/>
  <c r="L12" i="55"/>
  <c r="L13" i="55"/>
  <c r="L14" i="55"/>
  <c r="E106" i="54"/>
  <c r="E96" i="54"/>
  <c r="E80" i="54"/>
  <c r="E120" i="21"/>
  <c r="E61" i="54"/>
  <c r="E20" i="54"/>
  <c r="E118" i="54"/>
  <c r="E93" i="54"/>
  <c r="E63" i="54"/>
  <c r="E122" i="54"/>
  <c r="E97" i="54"/>
  <c r="E68" i="54"/>
  <c r="E125" i="54"/>
  <c r="D282" i="51"/>
  <c r="D298" i="60"/>
  <c r="D286" i="51"/>
  <c r="D302" i="60"/>
  <c r="D292" i="51"/>
  <c r="D308" i="60"/>
  <c r="D298" i="51"/>
  <c r="D314" i="60"/>
  <c r="D232" i="51"/>
  <c r="C302" i="51"/>
  <c r="D309" i="51"/>
  <c r="D175" i="54"/>
  <c r="D284" i="51"/>
  <c r="D300" i="60"/>
  <c r="D290" i="51"/>
  <c r="D306" i="60"/>
  <c r="D296" i="51"/>
  <c r="D312" i="60"/>
  <c r="D300" i="51"/>
  <c r="D316" i="60"/>
  <c r="C304" i="60"/>
  <c r="D91" i="60"/>
  <c r="E94" i="60"/>
  <c r="E382" i="60"/>
  <c r="C108" i="52"/>
  <c r="E104" i="60"/>
  <c r="J7" i="55"/>
  <c r="J8" i="55"/>
  <c r="J9" i="55"/>
  <c r="J10" i="55"/>
  <c r="J11" i="55"/>
  <c r="J12" i="55"/>
  <c r="J13" i="55"/>
  <c r="J14" i="55"/>
  <c r="H7" i="55"/>
  <c r="H8" i="55"/>
  <c r="H9" i="55"/>
  <c r="H10" i="55"/>
  <c r="H11" i="55"/>
  <c r="H12" i="55"/>
  <c r="H13" i="55"/>
  <c r="H14" i="55"/>
  <c r="G7" i="55"/>
  <c r="G8" i="55"/>
  <c r="G9" i="55"/>
  <c r="I107" i="51"/>
  <c r="I106" i="51"/>
  <c r="I105" i="51"/>
  <c r="I108" i="51"/>
  <c r="I104" i="51"/>
  <c r="I138" i="51"/>
  <c r="I139" i="51"/>
  <c r="K7" i="55"/>
  <c r="K8" i="55"/>
  <c r="K11" i="55"/>
  <c r="K12" i="55"/>
  <c r="I133" i="51"/>
  <c r="I134" i="51"/>
  <c r="I132" i="51"/>
  <c r="I150" i="51"/>
  <c r="I148" i="51"/>
  <c r="I144" i="51"/>
  <c r="D177" i="32"/>
  <c r="D175" i="32"/>
  <c r="D173" i="32"/>
  <c r="D171" i="32"/>
  <c r="D176" i="32"/>
  <c r="D174" i="32"/>
  <c r="D172" i="32"/>
  <c r="I179" i="51"/>
  <c r="I180" i="51"/>
  <c r="I178" i="51"/>
  <c r="F103" i="21"/>
  <c r="F104" i="21"/>
  <c r="E103" i="21"/>
  <c r="E104" i="21"/>
  <c r="I174" i="51"/>
  <c r="I172" i="51"/>
  <c r="I173" i="51"/>
  <c r="I171" i="51"/>
  <c r="I125" i="51"/>
  <c r="I123" i="51"/>
  <c r="I124" i="51"/>
  <c r="I184" i="51"/>
  <c r="I185" i="51"/>
  <c r="I167" i="51"/>
  <c r="I165" i="51"/>
  <c r="I166" i="51"/>
  <c r="E57" i="21"/>
  <c r="E54" i="21"/>
  <c r="E52" i="21"/>
  <c r="E56" i="21"/>
  <c r="E55" i="21"/>
  <c r="E53" i="21"/>
  <c r="I143" i="51"/>
  <c r="I149" i="51"/>
  <c r="I189" i="51"/>
  <c r="I190" i="51"/>
  <c r="I160" i="51"/>
  <c r="I158" i="51"/>
  <c r="I161" i="51"/>
  <c r="I159" i="51"/>
  <c r="I157" i="51"/>
  <c r="I113" i="51"/>
  <c r="I114" i="51"/>
  <c r="I112" i="51"/>
  <c r="I118" i="51"/>
  <c r="I119" i="51"/>
  <c r="I99" i="51"/>
  <c r="I97" i="51"/>
  <c r="I100" i="51"/>
  <c r="I98" i="51"/>
  <c r="I96" i="51"/>
  <c r="F187" i="32"/>
  <c r="D187" i="32"/>
  <c r="E184" i="32"/>
  <c r="E187" i="32"/>
  <c r="F184" i="32"/>
  <c r="D184" i="32"/>
  <c r="E186" i="51"/>
  <c r="E191" i="51"/>
  <c r="O88" i="65"/>
  <c r="P88" i="65"/>
  <c r="H88" i="65"/>
  <c r="O75" i="65"/>
  <c r="P75" i="65"/>
  <c r="H75" i="65"/>
  <c r="O74" i="65"/>
  <c r="P74" i="65"/>
  <c r="H74" i="65"/>
  <c r="O69" i="65"/>
  <c r="P69" i="65"/>
  <c r="H69" i="65"/>
  <c r="O63" i="65"/>
  <c r="P63" i="65"/>
  <c r="H63" i="65"/>
  <c r="O56" i="65"/>
  <c r="P56" i="65"/>
  <c r="H56" i="65"/>
  <c r="O66" i="65"/>
  <c r="P66" i="65"/>
  <c r="H66" i="65"/>
  <c r="O60" i="65"/>
  <c r="P60" i="65"/>
  <c r="H60" i="65"/>
  <c r="O53" i="65"/>
  <c r="P53" i="65"/>
  <c r="H53" i="65"/>
  <c r="O90" i="65"/>
  <c r="P90" i="65"/>
  <c r="H90" i="65"/>
  <c r="O89" i="65"/>
  <c r="P89" i="65"/>
  <c r="H89" i="65"/>
  <c r="O84" i="65"/>
  <c r="P84" i="65"/>
  <c r="H84" i="65"/>
  <c r="O76" i="65"/>
  <c r="P76" i="65"/>
  <c r="H76" i="65"/>
  <c r="O67" i="65"/>
  <c r="P67" i="65"/>
  <c r="H67" i="65"/>
  <c r="O61" i="65"/>
  <c r="P61" i="65"/>
  <c r="H61" i="65"/>
  <c r="O54" i="65"/>
  <c r="P54" i="65"/>
  <c r="H54" i="65"/>
  <c r="O73" i="65"/>
  <c r="P73" i="65"/>
  <c r="H73" i="65"/>
  <c r="O68" i="65"/>
  <c r="P68" i="65"/>
  <c r="H68" i="65"/>
  <c r="O62" i="65"/>
  <c r="P62" i="65"/>
  <c r="H62" i="65"/>
  <c r="O55" i="65"/>
  <c r="P55" i="65"/>
  <c r="H55" i="65"/>
  <c r="O31" i="52"/>
  <c r="G31" i="52"/>
  <c r="O33" i="52"/>
  <c r="G33" i="52"/>
  <c r="O35" i="52"/>
  <c r="G35" i="52"/>
  <c r="O30" i="52"/>
  <c r="G30" i="52"/>
  <c r="O32" i="52"/>
  <c r="G32" i="52"/>
  <c r="O34" i="52"/>
  <c r="G34" i="52"/>
  <c r="O29" i="52"/>
  <c r="G29" i="52"/>
  <c r="O9" i="52"/>
  <c r="G9" i="52"/>
  <c r="O11" i="52"/>
  <c r="G11" i="52"/>
  <c r="O10" i="52"/>
  <c r="G10" i="52"/>
  <c r="O8" i="52"/>
  <c r="G8" i="52"/>
  <c r="O26" i="52"/>
  <c r="G26" i="52"/>
  <c r="O22" i="52"/>
  <c r="G22" i="52"/>
  <c r="O24" i="52"/>
  <c r="G24" i="52"/>
  <c r="O27" i="52"/>
  <c r="G27" i="52"/>
  <c r="O23" i="52"/>
  <c r="G23" i="52"/>
  <c r="O25" i="52"/>
  <c r="G25" i="52"/>
  <c r="O21" i="52"/>
  <c r="G21" i="52"/>
  <c r="O19" i="52"/>
  <c r="G19" i="52"/>
  <c r="O14" i="52"/>
  <c r="G14" i="52"/>
  <c r="O16" i="52"/>
  <c r="G16" i="52"/>
  <c r="O18" i="52"/>
  <c r="G18" i="52"/>
  <c r="O15" i="52"/>
  <c r="G15" i="52"/>
  <c r="O17" i="52"/>
  <c r="G17" i="52"/>
  <c r="O13" i="52"/>
  <c r="G13" i="52"/>
  <c r="H136" i="32"/>
  <c r="O85" i="65"/>
  <c r="P85" i="65"/>
  <c r="H85" i="65"/>
  <c r="O87" i="65"/>
  <c r="P87" i="65"/>
  <c r="H87" i="65"/>
  <c r="O86" i="65"/>
  <c r="P86" i="65"/>
  <c r="H86" i="65"/>
  <c r="O83" i="65"/>
  <c r="P83" i="65"/>
  <c r="H83" i="65"/>
  <c r="L20" i="7"/>
  <c r="E21" i="58"/>
  <c r="G143" i="60"/>
  <c r="G140" i="60"/>
  <c r="G10" i="55"/>
  <c r="G11" i="55"/>
  <c r="G12" i="55"/>
  <c r="G13" i="55"/>
  <c r="G14" i="55"/>
  <c r="G135" i="60"/>
  <c r="G136" i="60"/>
  <c r="G144" i="60"/>
  <c r="G137" i="60"/>
  <c r="G138" i="60"/>
  <c r="G142" i="60"/>
  <c r="G141" i="60"/>
  <c r="G139" i="60"/>
  <c r="G104" i="60"/>
  <c r="E16" i="81"/>
  <c r="G16" i="81"/>
  <c r="D20" i="7"/>
  <c r="C94" i="58"/>
  <c r="D94" i="58"/>
  <c r="I15" i="52"/>
  <c r="J15" i="52"/>
  <c r="I16" i="52"/>
  <c r="J16" i="52"/>
  <c r="I19" i="52"/>
  <c r="I25" i="52"/>
  <c r="J25" i="52"/>
  <c r="I27" i="52"/>
  <c r="J27" i="52"/>
  <c r="I22" i="52"/>
  <c r="J22" i="52"/>
  <c r="I11" i="52"/>
  <c r="J11" i="52"/>
  <c r="I29" i="52"/>
  <c r="J29" i="52"/>
  <c r="I32" i="52"/>
  <c r="J32" i="52"/>
  <c r="I35" i="52"/>
  <c r="J35" i="52"/>
  <c r="I31" i="52"/>
  <c r="J31" i="52"/>
  <c r="I17" i="52"/>
  <c r="J17" i="52"/>
  <c r="I18" i="52"/>
  <c r="J18" i="52"/>
  <c r="I14" i="52"/>
  <c r="J14" i="52"/>
  <c r="I21" i="52"/>
  <c r="J21" i="52"/>
  <c r="I23" i="52"/>
  <c r="J23" i="52"/>
  <c r="I24" i="52"/>
  <c r="J24" i="52"/>
  <c r="I26" i="52"/>
  <c r="I10" i="52"/>
  <c r="J10" i="52"/>
  <c r="I9" i="52"/>
  <c r="J9" i="52"/>
  <c r="I34" i="52"/>
  <c r="J34" i="52"/>
  <c r="I30" i="52"/>
  <c r="J30" i="52"/>
  <c r="I33" i="52"/>
  <c r="J33" i="52"/>
  <c r="C14" i="58"/>
  <c r="I9" i="58"/>
  <c r="D23" i="7"/>
  <c r="I10" i="58"/>
  <c r="D28" i="7"/>
  <c r="D109" i="52"/>
  <c r="G42" i="52"/>
  <c r="I13" i="52"/>
  <c r="J13" i="52"/>
  <c r="G41" i="52"/>
  <c r="I8" i="52"/>
  <c r="J8" i="52"/>
  <c r="G44" i="52"/>
  <c r="F385" i="60"/>
  <c r="G157" i="32"/>
  <c r="H118" i="32"/>
  <c r="I6" i="58"/>
  <c r="I19" i="58"/>
  <c r="I7" i="58"/>
  <c r="F382" i="60"/>
  <c r="F134" i="54"/>
  <c r="D6" i="81"/>
  <c r="C109" i="52"/>
  <c r="C24" i="58"/>
  <c r="H44" i="52"/>
  <c r="H41" i="52"/>
  <c r="E49" i="60"/>
  <c r="E36" i="81"/>
  <c r="G36" i="81"/>
  <c r="B170" i="58"/>
  <c r="C171" i="58"/>
  <c r="D170" i="58"/>
  <c r="B115" i="58"/>
  <c r="C116" i="58"/>
  <c r="E47" i="60"/>
  <c r="E34" i="81"/>
  <c r="G34" i="81"/>
  <c r="F133" i="54"/>
  <c r="E48" i="60"/>
  <c r="E35" i="81"/>
  <c r="G35" i="81"/>
  <c r="G385" i="60"/>
  <c r="F193" i="54"/>
  <c r="G382" i="60"/>
  <c r="F190" i="54"/>
  <c r="F170" i="58"/>
  <c r="F14" i="58"/>
  <c r="H170" i="58"/>
  <c r="E192" i="58"/>
  <c r="M170" i="58"/>
  <c r="C176" i="58"/>
  <c r="H176" i="58"/>
  <c r="D81" i="7"/>
  <c r="E92" i="7"/>
  <c r="G170" i="58"/>
  <c r="E191" i="58"/>
  <c r="K170" i="58"/>
  <c r="C177" i="58"/>
  <c r="H177" i="58"/>
  <c r="D82" i="7"/>
  <c r="G15" i="51"/>
  <c r="L170" i="58"/>
  <c r="C191" i="58"/>
  <c r="C170" i="58"/>
  <c r="E170" i="58"/>
  <c r="I170" i="58"/>
  <c r="E196" i="58"/>
  <c r="J170" i="58"/>
  <c r="E195" i="58"/>
  <c r="Y94" i="58"/>
  <c r="Y95" i="58"/>
  <c r="E46" i="58"/>
  <c r="AC94" i="58"/>
  <c r="E55" i="58"/>
  <c r="H94" i="58"/>
  <c r="E205" i="58"/>
  <c r="E206" i="58"/>
  <c r="AG94" i="58"/>
  <c r="AA94" i="58"/>
  <c r="E48" i="58"/>
  <c r="AF94" i="58"/>
  <c r="Z94" i="58"/>
  <c r="E47" i="58"/>
  <c r="S94" i="58"/>
  <c r="E13" i="58"/>
  <c r="L94" i="58"/>
  <c r="N94" i="58"/>
  <c r="R94" i="58"/>
  <c r="G17" i="58"/>
  <c r="I17" i="58"/>
  <c r="O94" i="58"/>
  <c r="E94" i="58"/>
  <c r="X94" i="58"/>
  <c r="G21" i="58"/>
  <c r="B94" i="58"/>
  <c r="I94" i="58"/>
  <c r="AB94" i="58"/>
  <c r="E56" i="58"/>
  <c r="P94" i="58"/>
  <c r="K94" i="58"/>
  <c r="W94" i="58"/>
  <c r="G22" i="58"/>
  <c r="J94" i="58"/>
  <c r="E12" i="58"/>
  <c r="G12" i="58"/>
  <c r="Q94" i="58"/>
  <c r="G18" i="58"/>
  <c r="I18" i="58"/>
  <c r="T94" i="58"/>
  <c r="T95" i="58"/>
  <c r="AD94" i="58"/>
  <c r="AH94" i="58"/>
  <c r="AE94" i="58"/>
  <c r="AI94" i="58"/>
  <c r="M94" i="58"/>
  <c r="G94" i="58"/>
  <c r="C195" i="58"/>
  <c r="V94" i="58"/>
  <c r="V95" i="58"/>
  <c r="F94" i="58"/>
  <c r="C194" i="58"/>
  <c r="D194" i="58"/>
  <c r="H115" i="58"/>
  <c r="AD96" i="58"/>
  <c r="L115" i="58"/>
  <c r="AH96" i="58"/>
  <c r="K115" i="58"/>
  <c r="AG96" i="58"/>
  <c r="D115" i="58"/>
  <c r="F47" i="58"/>
  <c r="C115" i="58"/>
  <c r="F46" i="58"/>
  <c r="G115" i="58"/>
  <c r="F56" i="58"/>
  <c r="I115" i="58"/>
  <c r="AE96" i="58"/>
  <c r="J115" i="58"/>
  <c r="AF96" i="58"/>
  <c r="M115" i="58"/>
  <c r="AI96" i="58"/>
  <c r="F115" i="58"/>
  <c r="F55" i="58"/>
  <c r="H55" i="58"/>
  <c r="E115" i="58"/>
  <c r="F48" i="58"/>
  <c r="AH97" i="58"/>
  <c r="D50" i="7"/>
  <c r="E9" i="55"/>
  <c r="H56" i="58"/>
  <c r="E194" i="58"/>
  <c r="H15" i="51"/>
  <c r="H24" i="51"/>
  <c r="E193" i="58"/>
  <c r="H46" i="58"/>
  <c r="H17" i="51"/>
  <c r="H41" i="51"/>
  <c r="F205" i="58"/>
  <c r="F206" i="58"/>
  <c r="F209" i="58"/>
  <c r="F210" i="58"/>
  <c r="F211" i="58"/>
  <c r="F212" i="58"/>
  <c r="E93" i="7"/>
  <c r="E89" i="7"/>
  <c r="E91" i="7"/>
  <c r="AD97" i="58"/>
  <c r="H18" i="51"/>
  <c r="H44" i="51"/>
  <c r="H16" i="51"/>
  <c r="H33" i="51"/>
  <c r="G16" i="51"/>
  <c r="G30" i="51"/>
  <c r="G17" i="51"/>
  <c r="G37" i="51"/>
  <c r="E101" i="7"/>
  <c r="E94" i="7"/>
  <c r="H195" i="51"/>
  <c r="K195" i="51"/>
  <c r="K225" i="51"/>
  <c r="G18" i="51"/>
  <c r="G44" i="51"/>
  <c r="G195" i="51"/>
  <c r="J195" i="51"/>
  <c r="G225" i="51"/>
  <c r="AF97" i="58"/>
  <c r="E95" i="7"/>
  <c r="E102" i="7"/>
  <c r="E90" i="7"/>
  <c r="E96" i="7"/>
  <c r="AE97" i="58"/>
  <c r="H48" i="58"/>
  <c r="E14" i="58"/>
  <c r="G14" i="58"/>
  <c r="G11" i="58"/>
  <c r="G13" i="58"/>
  <c r="H13" i="58"/>
  <c r="I21" i="58"/>
  <c r="I22" i="58"/>
  <c r="D52" i="7"/>
  <c r="AI97" i="58"/>
  <c r="AG97" i="58"/>
  <c r="M95" i="58"/>
  <c r="H47" i="58"/>
  <c r="P95" i="58"/>
  <c r="C193" i="58"/>
  <c r="D193" i="58"/>
  <c r="C192" i="58"/>
  <c r="D192" i="58"/>
  <c r="L95" i="58"/>
  <c r="E207" i="58"/>
  <c r="E208" i="58"/>
  <c r="E209" i="58"/>
  <c r="E210" i="58"/>
  <c r="E211" i="58"/>
  <c r="E212" i="58"/>
  <c r="D195" i="58"/>
  <c r="C196" i="58"/>
  <c r="D196" i="58"/>
  <c r="K95" i="58"/>
  <c r="D75" i="7"/>
  <c r="N95" i="58"/>
  <c r="G25" i="51"/>
  <c r="G26" i="51"/>
  <c r="G24" i="51"/>
  <c r="G27" i="51"/>
  <c r="G23" i="51"/>
  <c r="E14" i="55"/>
  <c r="H26" i="51"/>
  <c r="H119" i="51"/>
  <c r="K119" i="51"/>
  <c r="H37" i="51"/>
  <c r="H167" i="51"/>
  <c r="K167" i="51"/>
  <c r="E225" i="51"/>
  <c r="E232" i="51"/>
  <c r="E11" i="55"/>
  <c r="E10" i="55"/>
  <c r="E12" i="55"/>
  <c r="E7" i="55"/>
  <c r="E8" i="55"/>
  <c r="E13" i="55"/>
  <c r="H27" i="51"/>
  <c r="H125" i="51"/>
  <c r="K125" i="51"/>
  <c r="H25" i="51"/>
  <c r="H113" i="51"/>
  <c r="K113" i="51"/>
  <c r="H23" i="51"/>
  <c r="H98" i="51"/>
  <c r="K98" i="51"/>
  <c r="G32" i="51"/>
  <c r="G144" i="51"/>
  <c r="J144" i="51"/>
  <c r="I225" i="51"/>
  <c r="L225" i="51"/>
  <c r="L232" i="51"/>
  <c r="H40" i="51"/>
  <c r="H184" i="51"/>
  <c r="H36" i="51"/>
  <c r="H159" i="51"/>
  <c r="K159" i="51"/>
  <c r="H39" i="51"/>
  <c r="H180" i="51"/>
  <c r="K180" i="51"/>
  <c r="H38" i="51"/>
  <c r="H172" i="51"/>
  <c r="K172" i="51"/>
  <c r="F207" i="58"/>
  <c r="F208" i="58"/>
  <c r="AH98" i="58"/>
  <c r="H32" i="51"/>
  <c r="H144" i="51"/>
  <c r="K144" i="51"/>
  <c r="H31" i="51"/>
  <c r="H138" i="51"/>
  <c r="H30" i="51"/>
  <c r="H132" i="51"/>
  <c r="G33" i="51"/>
  <c r="G150" i="51"/>
  <c r="J150" i="51"/>
  <c r="G31" i="51"/>
  <c r="G139" i="51"/>
  <c r="J139" i="51"/>
  <c r="G19" i="51"/>
  <c r="G36" i="51"/>
  <c r="G159" i="51"/>
  <c r="J159" i="51"/>
  <c r="G39" i="51"/>
  <c r="G180" i="51"/>
  <c r="J180" i="51"/>
  <c r="G41" i="51"/>
  <c r="G189" i="51"/>
  <c r="G40" i="51"/>
  <c r="G184" i="51"/>
  <c r="G38" i="51"/>
  <c r="G171" i="51"/>
  <c r="H19" i="51"/>
  <c r="E97" i="7"/>
  <c r="AE98" i="58"/>
  <c r="I14" i="58"/>
  <c r="D54" i="7"/>
  <c r="E108" i="60"/>
  <c r="E20" i="81"/>
  <c r="G20" i="81"/>
  <c r="AD98" i="58"/>
  <c r="AG98" i="58"/>
  <c r="D76" i="7"/>
  <c r="D77" i="7"/>
  <c r="G104" i="51"/>
  <c r="G106" i="51"/>
  <c r="J106" i="51"/>
  <c r="G108" i="51"/>
  <c r="J108" i="51"/>
  <c r="G105" i="51"/>
  <c r="J105" i="51"/>
  <c r="G107" i="51"/>
  <c r="J107" i="51"/>
  <c r="G114" i="51"/>
  <c r="J114" i="51"/>
  <c r="G112" i="51"/>
  <c r="G113" i="51"/>
  <c r="J113" i="51"/>
  <c r="H106" i="51"/>
  <c r="K106" i="51"/>
  <c r="H108" i="51"/>
  <c r="K108" i="51"/>
  <c r="H105" i="51"/>
  <c r="K105" i="51"/>
  <c r="H107" i="51"/>
  <c r="K107" i="51"/>
  <c r="H104" i="51"/>
  <c r="H118" i="51"/>
  <c r="G132" i="51"/>
  <c r="G133" i="51"/>
  <c r="J133" i="51"/>
  <c r="G134" i="51"/>
  <c r="J134" i="51"/>
  <c r="H190" i="51"/>
  <c r="K190" i="51"/>
  <c r="H189" i="51"/>
  <c r="K232" i="51"/>
  <c r="G166" i="51"/>
  <c r="J166" i="51"/>
  <c r="G167" i="51"/>
  <c r="J167" i="51"/>
  <c r="G165" i="51"/>
  <c r="G97" i="51"/>
  <c r="J97" i="51"/>
  <c r="G98" i="51"/>
  <c r="J98" i="51"/>
  <c r="G100" i="51"/>
  <c r="J100" i="51"/>
  <c r="G28" i="51"/>
  <c r="G96" i="51"/>
  <c r="G99" i="51"/>
  <c r="J99" i="51"/>
  <c r="G125" i="51"/>
  <c r="J125" i="51"/>
  <c r="G123" i="51"/>
  <c r="G124" i="51"/>
  <c r="J124" i="51"/>
  <c r="G119" i="51"/>
  <c r="J119" i="51"/>
  <c r="G118" i="51"/>
  <c r="G232" i="51"/>
  <c r="H149" i="51"/>
  <c r="K149" i="51"/>
  <c r="H148" i="51"/>
  <c r="H150" i="51"/>
  <c r="K150" i="51"/>
  <c r="H225" i="51"/>
  <c r="H232" i="51"/>
  <c r="F225" i="51"/>
  <c r="F232" i="51"/>
  <c r="G143" i="51"/>
  <c r="G145" i="51"/>
  <c r="E214" i="51"/>
  <c r="H166" i="51"/>
  <c r="K166" i="51"/>
  <c r="H165" i="51"/>
  <c r="K165" i="51"/>
  <c r="J225" i="51"/>
  <c r="J232" i="51"/>
  <c r="H123" i="51"/>
  <c r="K123" i="51"/>
  <c r="H124" i="51"/>
  <c r="K124" i="51"/>
  <c r="H161" i="51"/>
  <c r="K161" i="51"/>
  <c r="H158" i="51"/>
  <c r="K158" i="51"/>
  <c r="G148" i="51"/>
  <c r="J148" i="51"/>
  <c r="H157" i="51"/>
  <c r="K157" i="51"/>
  <c r="I232" i="51"/>
  <c r="H179" i="51"/>
  <c r="K179" i="51"/>
  <c r="G138" i="51"/>
  <c r="J138" i="51"/>
  <c r="J140" i="51"/>
  <c r="H114" i="51"/>
  <c r="K114" i="51"/>
  <c r="H28" i="51"/>
  <c r="H171" i="51"/>
  <c r="K171" i="51"/>
  <c r="H173" i="51"/>
  <c r="K173" i="51"/>
  <c r="H174" i="51"/>
  <c r="K174" i="51"/>
  <c r="H96" i="51"/>
  <c r="K96" i="51"/>
  <c r="G158" i="51"/>
  <c r="J158" i="51"/>
  <c r="H160" i="51"/>
  <c r="K160" i="51"/>
  <c r="G149" i="51"/>
  <c r="J149" i="51"/>
  <c r="G157" i="51"/>
  <c r="J157" i="51"/>
  <c r="G174" i="51"/>
  <c r="J174" i="51"/>
  <c r="H112" i="51"/>
  <c r="K112" i="51"/>
  <c r="K115" i="51"/>
  <c r="K207" i="51"/>
  <c r="G161" i="51"/>
  <c r="J161" i="51"/>
  <c r="G160" i="51"/>
  <c r="J160" i="51"/>
  <c r="H134" i="51"/>
  <c r="K134" i="51"/>
  <c r="H185" i="51"/>
  <c r="K185" i="51"/>
  <c r="H100" i="51"/>
  <c r="K100" i="51"/>
  <c r="H133" i="51"/>
  <c r="K133" i="51"/>
  <c r="H97" i="51"/>
  <c r="K97" i="51"/>
  <c r="G173" i="51"/>
  <c r="J173" i="51"/>
  <c r="H42" i="51"/>
  <c r="H99" i="51"/>
  <c r="K99" i="51"/>
  <c r="G185" i="51"/>
  <c r="J185" i="51"/>
  <c r="H139" i="51"/>
  <c r="K139" i="51"/>
  <c r="H178" i="51"/>
  <c r="K178" i="51"/>
  <c r="H34" i="51"/>
  <c r="G34" i="51"/>
  <c r="G190" i="51"/>
  <c r="J190" i="51"/>
  <c r="H143" i="51"/>
  <c r="H145" i="51"/>
  <c r="I214" i="51"/>
  <c r="G178" i="51"/>
  <c r="G179" i="51"/>
  <c r="J179" i="51"/>
  <c r="G172" i="51"/>
  <c r="J172" i="51"/>
  <c r="G42" i="51"/>
  <c r="AI98" i="58"/>
  <c r="M225" i="51"/>
  <c r="M232" i="51"/>
  <c r="O225" i="51"/>
  <c r="O232" i="51"/>
  <c r="J184" i="51"/>
  <c r="K184" i="51"/>
  <c r="G126" i="51"/>
  <c r="E209" i="51"/>
  <c r="J123" i="51"/>
  <c r="J126" i="51"/>
  <c r="K132" i="51"/>
  <c r="G168" i="51"/>
  <c r="J165" i="51"/>
  <c r="J168" i="51"/>
  <c r="J132" i="51"/>
  <c r="J135" i="51"/>
  <c r="G135" i="51"/>
  <c r="E212" i="51"/>
  <c r="K148" i="51"/>
  <c r="K151" i="51"/>
  <c r="K215" i="51"/>
  <c r="H151" i="51"/>
  <c r="I215" i="51"/>
  <c r="J171" i="51"/>
  <c r="J118" i="51"/>
  <c r="J120" i="51"/>
  <c r="G120" i="51"/>
  <c r="E208" i="51"/>
  <c r="J96" i="51"/>
  <c r="J101" i="51"/>
  <c r="G101" i="51"/>
  <c r="K138" i="51"/>
  <c r="J189" i="51"/>
  <c r="K189" i="51"/>
  <c r="K191" i="51"/>
  <c r="K223" i="51"/>
  <c r="H191" i="51"/>
  <c r="I223" i="51"/>
  <c r="K118" i="51"/>
  <c r="K120" i="51"/>
  <c r="K208" i="51"/>
  <c r="H120" i="51"/>
  <c r="I208" i="51"/>
  <c r="K104" i="51"/>
  <c r="K109" i="51"/>
  <c r="K206" i="51"/>
  <c r="H109" i="51"/>
  <c r="I206" i="51"/>
  <c r="G115" i="51"/>
  <c r="E207" i="51"/>
  <c r="J112" i="51"/>
  <c r="J115" i="51"/>
  <c r="J104" i="51"/>
  <c r="J109" i="51"/>
  <c r="G109" i="51"/>
  <c r="E206" i="51"/>
  <c r="J143" i="51"/>
  <c r="J145" i="51"/>
  <c r="K168" i="51"/>
  <c r="K219" i="51"/>
  <c r="H168" i="51"/>
  <c r="K126" i="51"/>
  <c r="K209" i="51"/>
  <c r="H126" i="51"/>
  <c r="I209" i="51"/>
  <c r="K186" i="51"/>
  <c r="K222" i="51"/>
  <c r="H181" i="51"/>
  <c r="I221" i="51"/>
  <c r="K175" i="51"/>
  <c r="K220" i="51"/>
  <c r="K181" i="51"/>
  <c r="K221" i="51"/>
  <c r="G140" i="51"/>
  <c r="E213" i="51"/>
  <c r="H162" i="51"/>
  <c r="I218" i="51"/>
  <c r="G151" i="51"/>
  <c r="E215" i="51"/>
  <c r="M215" i="51"/>
  <c r="H101" i="51"/>
  <c r="I205" i="51"/>
  <c r="H115" i="51"/>
  <c r="I207" i="51"/>
  <c r="M207" i="51"/>
  <c r="H175" i="51"/>
  <c r="I220" i="51"/>
  <c r="K162" i="51"/>
  <c r="K218" i="51"/>
  <c r="J151" i="51"/>
  <c r="J152" i="51"/>
  <c r="G162" i="51"/>
  <c r="E218" i="51"/>
  <c r="H186" i="51"/>
  <c r="I222" i="51"/>
  <c r="K140" i="51"/>
  <c r="H140" i="51"/>
  <c r="I213" i="51"/>
  <c r="H135" i="51"/>
  <c r="I212" i="51"/>
  <c r="M212" i="51"/>
  <c r="K101" i="51"/>
  <c r="J186" i="51"/>
  <c r="G222" i="51"/>
  <c r="J162" i="51"/>
  <c r="K135" i="51"/>
  <c r="K212" i="51"/>
  <c r="G186" i="51"/>
  <c r="E222" i="51"/>
  <c r="G181" i="51"/>
  <c r="E221" i="51"/>
  <c r="H46" i="51"/>
  <c r="K143" i="51"/>
  <c r="K145" i="51"/>
  <c r="K214" i="51"/>
  <c r="L214" i="51"/>
  <c r="J191" i="51"/>
  <c r="J178" i="51"/>
  <c r="J181" i="51"/>
  <c r="G191" i="51"/>
  <c r="E223" i="51"/>
  <c r="M223" i="51"/>
  <c r="G46" i="51"/>
  <c r="G175" i="51"/>
  <c r="E220" i="51"/>
  <c r="J175" i="51"/>
  <c r="G220" i="51"/>
  <c r="M206" i="51"/>
  <c r="P225" i="51"/>
  <c r="P232" i="51"/>
  <c r="N225" i="51"/>
  <c r="N232" i="51"/>
  <c r="L206" i="51"/>
  <c r="L208" i="51"/>
  <c r="L223" i="51"/>
  <c r="L215" i="51"/>
  <c r="G206" i="51"/>
  <c r="I109" i="51"/>
  <c r="G205" i="51"/>
  <c r="J127" i="51"/>
  <c r="I120" i="51"/>
  <c r="G208" i="51"/>
  <c r="G213" i="51"/>
  <c r="G214" i="51"/>
  <c r="G219" i="51"/>
  <c r="G209" i="51"/>
  <c r="G207" i="51"/>
  <c r="J206" i="51"/>
  <c r="J208" i="51"/>
  <c r="J223" i="51"/>
  <c r="I219" i="51"/>
  <c r="E205" i="51"/>
  <c r="G127" i="51"/>
  <c r="M208" i="51"/>
  <c r="J215" i="51"/>
  <c r="M214" i="51"/>
  <c r="G212" i="51"/>
  <c r="E219" i="51"/>
  <c r="M209" i="51"/>
  <c r="I168" i="51"/>
  <c r="J209" i="51"/>
  <c r="I115" i="51"/>
  <c r="J222" i="51"/>
  <c r="L209" i="51"/>
  <c r="I126" i="51"/>
  <c r="M222" i="51"/>
  <c r="J207" i="51"/>
  <c r="L222" i="51"/>
  <c r="G152" i="51"/>
  <c r="I140" i="51"/>
  <c r="I135" i="51"/>
  <c r="L220" i="51"/>
  <c r="L221" i="51"/>
  <c r="J220" i="51"/>
  <c r="M221" i="51"/>
  <c r="M220" i="51"/>
  <c r="J221" i="51"/>
  <c r="J218" i="51"/>
  <c r="I101" i="51"/>
  <c r="K193" i="51"/>
  <c r="L212" i="51"/>
  <c r="M218" i="51"/>
  <c r="H193" i="51"/>
  <c r="L218" i="51"/>
  <c r="L207" i="51"/>
  <c r="I145" i="51"/>
  <c r="K213" i="51"/>
  <c r="O213" i="51"/>
  <c r="I162" i="51"/>
  <c r="H127" i="51"/>
  <c r="K152" i="51"/>
  <c r="H152" i="51"/>
  <c r="J212" i="51"/>
  <c r="G215" i="51"/>
  <c r="H215" i="51"/>
  <c r="I151" i="51"/>
  <c r="J214" i="51"/>
  <c r="G218" i="51"/>
  <c r="H218" i="51"/>
  <c r="I191" i="51"/>
  <c r="K205" i="51"/>
  <c r="J205" i="51"/>
  <c r="K127" i="51"/>
  <c r="G223" i="51"/>
  <c r="I186" i="51"/>
  <c r="I181" i="51"/>
  <c r="G221" i="51"/>
  <c r="F221" i="51"/>
  <c r="J193" i="51"/>
  <c r="J197" i="51"/>
  <c r="I175" i="51"/>
  <c r="G193" i="51"/>
  <c r="J219" i="51"/>
  <c r="F212" i="51"/>
  <c r="H212" i="51"/>
  <c r="O212" i="51"/>
  <c r="E216" i="51"/>
  <c r="E230" i="51"/>
  <c r="F213" i="51"/>
  <c r="M213" i="51"/>
  <c r="E224" i="51"/>
  <c r="E231" i="51"/>
  <c r="F219" i="51"/>
  <c r="M219" i="51"/>
  <c r="F205" i="51"/>
  <c r="M205" i="51"/>
  <c r="E210" i="51"/>
  <c r="O222" i="51"/>
  <c r="H222" i="51"/>
  <c r="F222" i="51"/>
  <c r="I224" i="51"/>
  <c r="I231" i="51"/>
  <c r="O219" i="51"/>
  <c r="H219" i="51"/>
  <c r="O214" i="51"/>
  <c r="F214" i="51"/>
  <c r="H214" i="51"/>
  <c r="H220" i="51"/>
  <c r="O220" i="51"/>
  <c r="F220" i="51"/>
  <c r="H213" i="51"/>
  <c r="K224" i="51"/>
  <c r="L219" i="51"/>
  <c r="I210" i="51"/>
  <c r="F207" i="51"/>
  <c r="H207" i="51"/>
  <c r="O207" i="51"/>
  <c r="H209" i="51"/>
  <c r="F209" i="51"/>
  <c r="O209" i="51"/>
  <c r="O208" i="51"/>
  <c r="H208" i="51"/>
  <c r="F208" i="51"/>
  <c r="H205" i="51"/>
  <c r="G210" i="51"/>
  <c r="I216" i="51"/>
  <c r="I230" i="51"/>
  <c r="F206" i="51"/>
  <c r="H206" i="51"/>
  <c r="O206" i="51"/>
  <c r="L213" i="51"/>
  <c r="H197" i="51"/>
  <c r="K216" i="51"/>
  <c r="L216" i="51"/>
  <c r="L230" i="51"/>
  <c r="J213" i="51"/>
  <c r="J216" i="51"/>
  <c r="J230" i="51"/>
  <c r="G197" i="51"/>
  <c r="J210" i="51"/>
  <c r="J229" i="51"/>
  <c r="O215" i="51"/>
  <c r="O216" i="51"/>
  <c r="I152" i="51"/>
  <c r="J224" i="51"/>
  <c r="J231" i="51"/>
  <c r="K197" i="51"/>
  <c r="F215" i="51"/>
  <c r="F216" i="51"/>
  <c r="F230" i="51"/>
  <c r="G216" i="51"/>
  <c r="G230" i="51"/>
  <c r="F218" i="51"/>
  <c r="I127" i="51"/>
  <c r="O218" i="51"/>
  <c r="N218" i="51"/>
  <c r="L205" i="51"/>
  <c r="K210" i="51"/>
  <c r="L210" i="51"/>
  <c r="L229" i="51"/>
  <c r="O205" i="51"/>
  <c r="O210" i="51"/>
  <c r="P213" i="51"/>
  <c r="O221" i="51"/>
  <c r="P221" i="51"/>
  <c r="H221" i="51"/>
  <c r="G224" i="51"/>
  <c r="H223" i="51"/>
  <c r="O223" i="51"/>
  <c r="P223" i="51"/>
  <c r="F223" i="51"/>
  <c r="I193" i="51"/>
  <c r="P219" i="51"/>
  <c r="P206" i="51"/>
  <c r="N206" i="51"/>
  <c r="H210" i="51"/>
  <c r="H229" i="51"/>
  <c r="G229" i="51"/>
  <c r="P207" i="51"/>
  <c r="N207" i="51"/>
  <c r="L224" i="51"/>
  <c r="L231" i="51"/>
  <c r="K231" i="51"/>
  <c r="P220" i="51"/>
  <c r="N220" i="51"/>
  <c r="P214" i="51"/>
  <c r="N214" i="51"/>
  <c r="E226" i="51"/>
  <c r="E229" i="51"/>
  <c r="E233" i="51"/>
  <c r="F210" i="51"/>
  <c r="M224" i="51"/>
  <c r="M231" i="51"/>
  <c r="N219" i="51"/>
  <c r="P212" i="51"/>
  <c r="N212" i="51"/>
  <c r="P208" i="51"/>
  <c r="N208" i="51"/>
  <c r="P209" i="51"/>
  <c r="N209" i="51"/>
  <c r="I226" i="51"/>
  <c r="I229" i="51"/>
  <c r="I233" i="51"/>
  <c r="P222" i="51"/>
  <c r="N222" i="51"/>
  <c r="K230" i="51"/>
  <c r="M210" i="51"/>
  <c r="M216" i="51"/>
  <c r="M230" i="51"/>
  <c r="N213" i="51"/>
  <c r="I197" i="51"/>
  <c r="P215" i="51"/>
  <c r="H216" i="51"/>
  <c r="H230" i="51"/>
  <c r="N215" i="51"/>
  <c r="G226" i="51"/>
  <c r="H226" i="51"/>
  <c r="F224" i="51"/>
  <c r="F231" i="51"/>
  <c r="J226" i="51"/>
  <c r="N221" i="51"/>
  <c r="J233" i="51"/>
  <c r="K229" i="51"/>
  <c r="K233" i="51"/>
  <c r="L233" i="51"/>
  <c r="P218" i="51"/>
  <c r="K226" i="51"/>
  <c r="L226" i="51"/>
  <c r="N205" i="51"/>
  <c r="N210" i="51"/>
  <c r="P205" i="51"/>
  <c r="O224" i="51"/>
  <c r="O231" i="51"/>
  <c r="N223" i="51"/>
  <c r="N224" i="51"/>
  <c r="N231" i="51"/>
  <c r="H224" i="51"/>
  <c r="H231" i="51"/>
  <c r="G231" i="51"/>
  <c r="G233" i="51"/>
  <c r="H233" i="51"/>
  <c r="M226" i="51"/>
  <c r="M229" i="51"/>
  <c r="M233" i="51"/>
  <c r="O230" i="51"/>
  <c r="P216" i="51"/>
  <c r="P230" i="51"/>
  <c r="F229" i="51"/>
  <c r="F233" i="51"/>
  <c r="N216" i="51"/>
  <c r="N230" i="51"/>
  <c r="P210" i="51"/>
  <c r="P229" i="51"/>
  <c r="O229" i="51"/>
  <c r="G43" i="52"/>
  <c r="E384" i="60"/>
  <c r="F226" i="51"/>
  <c r="O226" i="51"/>
  <c r="P226" i="51"/>
  <c r="P224" i="51"/>
  <c r="P231" i="51"/>
  <c r="O233" i="51"/>
  <c r="P233" i="51"/>
  <c r="N229" i="51"/>
  <c r="N233" i="51"/>
  <c r="N226" i="51"/>
  <c r="F384" i="60"/>
  <c r="H43" i="52"/>
  <c r="G384" i="60"/>
  <c r="F192" i="54"/>
  <c r="J26" i="52"/>
  <c r="E383" i="60"/>
  <c r="F45" i="52"/>
  <c r="E386" i="60"/>
  <c r="J19" i="52"/>
  <c r="G45" i="52"/>
  <c r="F386" i="60"/>
  <c r="F383" i="60"/>
  <c r="H42" i="52"/>
  <c r="F191" i="54"/>
  <c r="H45" i="52"/>
  <c r="G386" i="60"/>
  <c r="G383" i="60"/>
  <c r="E155" i="51"/>
  <c r="E280" i="51"/>
  <c r="G13" i="51"/>
  <c r="E130" i="51"/>
  <c r="G94" i="51"/>
  <c r="G155" i="51"/>
  <c r="E13" i="51"/>
  <c r="G130" i="51"/>
  <c r="C16" i="55"/>
  <c r="E50" i="60"/>
  <c r="E37" i="81"/>
  <c r="G37" i="81"/>
  <c r="I56" i="58"/>
  <c r="I46" i="58"/>
  <c r="F132" i="54"/>
  <c r="C26" i="58"/>
  <c r="C25" i="58"/>
  <c r="C229" i="58"/>
  <c r="D229" i="58"/>
  <c r="C184" i="58"/>
  <c r="C185" i="58"/>
  <c r="G205" i="58"/>
  <c r="H205" i="58"/>
  <c r="D89" i="7"/>
  <c r="G206" i="58"/>
  <c r="H206" i="58"/>
  <c r="D90" i="7"/>
  <c r="G195" i="58"/>
  <c r="H195" i="58"/>
  <c r="G193" i="58"/>
  <c r="H193" i="58"/>
  <c r="G196" i="58"/>
  <c r="H196" i="58"/>
  <c r="G191" i="58"/>
  <c r="H191" i="58"/>
  <c r="G211" i="58"/>
  <c r="H211" i="58"/>
  <c r="D95" i="7"/>
  <c r="G212" i="58"/>
  <c r="H212" i="58"/>
  <c r="D96" i="7"/>
  <c r="G208" i="58"/>
  <c r="H208" i="58"/>
  <c r="D92" i="7"/>
  <c r="G210" i="58"/>
  <c r="H210" i="58"/>
  <c r="D94" i="7"/>
  <c r="G207" i="58"/>
  <c r="H207" i="58"/>
  <c r="D91" i="7"/>
  <c r="G209" i="58"/>
  <c r="H209" i="58"/>
  <c r="D93" i="7"/>
  <c r="G192" i="58"/>
  <c r="H192" i="58"/>
  <c r="D102" i="7"/>
  <c r="G194" i="58"/>
  <c r="H194" i="58"/>
  <c r="D101" i="7"/>
  <c r="I12" i="58"/>
  <c r="D30" i="7"/>
  <c r="E81" i="32"/>
  <c r="E101" i="32"/>
  <c r="E83" i="32"/>
  <c r="E82" i="32"/>
  <c r="E89" i="32"/>
  <c r="E88" i="32"/>
  <c r="E106" i="32"/>
  <c r="E99" i="32"/>
  <c r="E102" i="32"/>
  <c r="E63" i="21"/>
  <c r="E130" i="21"/>
  <c r="E85" i="21"/>
  <c r="E86" i="21"/>
  <c r="F158" i="32"/>
  <c r="E143" i="21"/>
  <c r="E139" i="21"/>
  <c r="E142" i="21"/>
  <c r="E138" i="21"/>
  <c r="E112" i="21"/>
  <c r="E111" i="21"/>
  <c r="F143" i="32"/>
  <c r="F141" i="32"/>
  <c r="F139" i="32"/>
  <c r="F137" i="32"/>
  <c r="E129" i="21"/>
  <c r="E130" i="32"/>
  <c r="E128" i="32"/>
  <c r="E126" i="32"/>
  <c r="E124" i="32"/>
  <c r="E122" i="32"/>
  <c r="E120" i="32"/>
  <c r="E131" i="21"/>
  <c r="E87" i="21"/>
  <c r="E88" i="21"/>
  <c r="E84" i="21"/>
  <c r="E158" i="32"/>
  <c r="D158" i="32"/>
  <c r="E141" i="21"/>
  <c r="E137" i="21"/>
  <c r="E140" i="21"/>
  <c r="E136" i="21"/>
  <c r="E109" i="21"/>
  <c r="F144" i="32"/>
  <c r="F142" i="32"/>
  <c r="F140" i="32"/>
  <c r="F138" i="32"/>
  <c r="F145" i="32"/>
  <c r="E128" i="21"/>
  <c r="E129" i="32"/>
  <c r="E127" i="32"/>
  <c r="E125" i="32"/>
  <c r="E123" i="32"/>
  <c r="E121" i="32"/>
  <c r="E119" i="32"/>
  <c r="F102" i="7"/>
  <c r="F91" i="7"/>
  <c r="G91" i="7"/>
  <c r="F93" i="7"/>
  <c r="F94" i="7"/>
  <c r="F96" i="7"/>
  <c r="F90" i="7"/>
  <c r="H90" i="7"/>
  <c r="F92" i="7"/>
  <c r="F95" i="7"/>
  <c r="D183" i="32"/>
  <c r="F30" i="7"/>
  <c r="C34" i="58"/>
  <c r="E52" i="60"/>
  <c r="E39" i="81"/>
  <c r="G39" i="81"/>
  <c r="F183" i="32"/>
  <c r="E183" i="32"/>
  <c r="E15" i="60"/>
  <c r="E25" i="58"/>
  <c r="E76" i="7"/>
  <c r="H47" i="32"/>
  <c r="F166" i="60"/>
  <c r="I166" i="60"/>
  <c r="H51" i="32"/>
  <c r="F170" i="60"/>
  <c r="I170" i="60"/>
  <c r="H46" i="32"/>
  <c r="F165" i="60"/>
  <c r="I165" i="60"/>
  <c r="E175" i="32"/>
  <c r="H313" i="60"/>
  <c r="E173" i="32"/>
  <c r="H11" i="21"/>
  <c r="E176" i="32"/>
  <c r="H307" i="60"/>
  <c r="H298" i="60"/>
  <c r="E171" i="32"/>
  <c r="H302" i="60"/>
  <c r="H312" i="60"/>
  <c r="H300" i="60"/>
  <c r="H316" i="60"/>
  <c r="H306" i="60"/>
  <c r="H348" i="60"/>
  <c r="E172" i="32"/>
  <c r="H247" i="60"/>
  <c r="H346" i="60"/>
  <c r="E177" i="32"/>
  <c r="H352" i="60"/>
  <c r="H305" i="60"/>
  <c r="H244" i="60"/>
  <c r="H301" i="60"/>
  <c r="H311" i="60"/>
  <c r="H246" i="60"/>
  <c r="H308" i="60"/>
  <c r="H245" i="60"/>
  <c r="E75" i="7"/>
  <c r="E118" i="21"/>
  <c r="H243" i="60"/>
  <c r="H299" i="60"/>
  <c r="H351" i="60"/>
  <c r="E174" i="32"/>
  <c r="H314" i="60"/>
  <c r="H347" i="60"/>
  <c r="H349" i="60"/>
  <c r="H350" i="60"/>
  <c r="D153" i="32"/>
  <c r="H16" i="21"/>
  <c r="H315" i="60"/>
  <c r="I13" i="58"/>
  <c r="D31" i="7"/>
  <c r="E24" i="58"/>
  <c r="E26" i="58"/>
  <c r="I11" i="58"/>
  <c r="D103" i="7"/>
  <c r="F101" i="7"/>
  <c r="D97" i="7"/>
  <c r="F89" i="7"/>
  <c r="D29" i="7"/>
  <c r="H28" i="7"/>
  <c r="E27" i="58"/>
  <c r="F100" i="21"/>
  <c r="E70" i="21"/>
  <c r="E66" i="21"/>
  <c r="E69" i="21"/>
  <c r="E110" i="21"/>
  <c r="G113" i="21"/>
  <c r="F12" i="21"/>
  <c r="I12" i="21"/>
  <c r="F259" i="60"/>
  <c r="I259" i="60"/>
  <c r="E76" i="21"/>
  <c r="E68" i="21"/>
  <c r="E75" i="21"/>
  <c r="E67" i="21"/>
  <c r="E108" i="32"/>
  <c r="E107" i="32"/>
  <c r="G90" i="7"/>
  <c r="F105" i="21"/>
  <c r="E96" i="65"/>
  <c r="H91" i="7"/>
  <c r="E121" i="21"/>
  <c r="E123" i="21"/>
  <c r="F16" i="21"/>
  <c r="G102" i="7"/>
  <c r="H102" i="7"/>
  <c r="F296" i="51"/>
  <c r="E97" i="65"/>
  <c r="G93" i="7"/>
  <c r="E99" i="65"/>
  <c r="H93" i="7"/>
  <c r="H94" i="7"/>
  <c r="E100" i="65"/>
  <c r="G94" i="7"/>
  <c r="H92" i="7"/>
  <c r="G92" i="7"/>
  <c r="E98" i="65"/>
  <c r="E101" i="65"/>
  <c r="H95" i="7"/>
  <c r="G95" i="7"/>
  <c r="H96" i="7"/>
  <c r="E102" i="65"/>
  <c r="G96" i="7"/>
  <c r="G101" i="7"/>
  <c r="H101" i="7"/>
  <c r="F103" i="7"/>
  <c r="H103" i="7"/>
  <c r="H248" i="60"/>
  <c r="H309" i="60"/>
  <c r="H91" i="60"/>
  <c r="G132" i="21"/>
  <c r="F17" i="21"/>
  <c r="I17" i="21"/>
  <c r="F263" i="60"/>
  <c r="I263" i="60"/>
  <c r="F132" i="21"/>
  <c r="E17" i="21"/>
  <c r="D24" i="58"/>
  <c r="F97" i="7"/>
  <c r="G89" i="7"/>
  <c r="E95" i="65"/>
  <c r="H89" i="7"/>
  <c r="G86" i="32"/>
  <c r="E36" i="32"/>
  <c r="F86" i="32"/>
  <c r="D36" i="32"/>
  <c r="F24" i="58"/>
  <c r="H11" i="58"/>
  <c r="E262" i="60"/>
  <c r="G92" i="32"/>
  <c r="F92" i="32"/>
  <c r="H317" i="60"/>
  <c r="H92" i="60"/>
  <c r="H353" i="60"/>
  <c r="H303" i="60"/>
  <c r="E258" i="60"/>
  <c r="E77" i="7"/>
  <c r="G89" i="21"/>
  <c r="F10" i="21"/>
  <c r="I10" i="21"/>
  <c r="F257" i="60"/>
  <c r="I257" i="60"/>
  <c r="F89" i="21"/>
  <c r="E10" i="21"/>
  <c r="G144" i="21"/>
  <c r="F18" i="21"/>
  <c r="I18" i="21"/>
  <c r="F264" i="60"/>
  <c r="I264" i="60"/>
  <c r="F144" i="21"/>
  <c r="E18" i="21"/>
  <c r="D26" i="58"/>
  <c r="F289" i="51"/>
  <c r="F298" i="51"/>
  <c r="F295" i="51"/>
  <c r="F299" i="51"/>
  <c r="F291" i="51"/>
  <c r="F282" i="51"/>
  <c r="F302" i="51"/>
  <c r="F309" i="51"/>
  <c r="F285" i="51"/>
  <c r="F292" i="51"/>
  <c r="F283" i="51"/>
  <c r="F284" i="51"/>
  <c r="F286" i="51"/>
  <c r="F290" i="51"/>
  <c r="F300" i="51"/>
  <c r="F297" i="51"/>
  <c r="H97" i="7"/>
  <c r="G97" i="7"/>
  <c r="H18" i="21"/>
  <c r="H258" i="60"/>
  <c r="F19" i="21"/>
  <c r="I16" i="21"/>
  <c r="H262" i="60"/>
  <c r="G36" i="32"/>
  <c r="G80" i="21"/>
  <c r="F9" i="21"/>
  <c r="I9" i="21"/>
  <c r="F256" i="60"/>
  <c r="I256" i="60"/>
  <c r="F80" i="21"/>
  <c r="E9" i="21"/>
  <c r="F113" i="21"/>
  <c r="E12" i="21"/>
  <c r="E19" i="21"/>
  <c r="H17" i="21"/>
  <c r="G104" i="32"/>
  <c r="H84" i="60"/>
  <c r="H77" i="60"/>
  <c r="E290" i="51"/>
  <c r="E302" i="51"/>
  <c r="E283" i="51"/>
  <c r="E291" i="51"/>
  <c r="E298" i="51"/>
  <c r="E296" i="51"/>
  <c r="G296" i="51"/>
  <c r="H296" i="51"/>
  <c r="F312" i="60"/>
  <c r="E292" i="51"/>
  <c r="E282" i="51"/>
  <c r="E284" i="51"/>
  <c r="E285" i="51"/>
  <c r="E300" i="51"/>
  <c r="E286" i="51"/>
  <c r="E299" i="51"/>
  <c r="G299" i="51"/>
  <c r="H299" i="51"/>
  <c r="F315" i="60"/>
  <c r="E295" i="51"/>
  <c r="E289" i="51"/>
  <c r="E297" i="51"/>
  <c r="G297" i="51"/>
  <c r="H297" i="51"/>
  <c r="F313" i="60"/>
  <c r="H10" i="21"/>
  <c r="H319" i="60"/>
  <c r="H79" i="60"/>
  <c r="H90" i="60"/>
  <c r="H93" i="60"/>
  <c r="H80" i="60"/>
  <c r="H94" i="60"/>
  <c r="F111" i="32"/>
  <c r="D41" i="32"/>
  <c r="G111" i="32"/>
  <c r="E41" i="32"/>
  <c r="H41" i="32"/>
  <c r="F160" i="60"/>
  <c r="I160" i="60"/>
  <c r="F93" i="32"/>
  <c r="D37" i="32"/>
  <c r="D38" i="32"/>
  <c r="G93" i="32"/>
  <c r="E37" i="32"/>
  <c r="H37" i="32"/>
  <c r="F156" i="60"/>
  <c r="I156" i="60"/>
  <c r="E105" i="21"/>
  <c r="G105" i="21"/>
  <c r="H12" i="58"/>
  <c r="F25" i="58"/>
  <c r="E53" i="60"/>
  <c r="E40" i="81"/>
  <c r="G40" i="81"/>
  <c r="E100" i="21"/>
  <c r="C35" i="58"/>
  <c r="F31" i="7"/>
  <c r="G58" i="21"/>
  <c r="F7" i="21"/>
  <c r="F58" i="21"/>
  <c r="E7" i="21"/>
  <c r="F26" i="58"/>
  <c r="H36" i="32"/>
  <c r="E103" i="65"/>
  <c r="C54" i="58"/>
  <c r="G71" i="21"/>
  <c r="F8" i="21"/>
  <c r="I8" i="21"/>
  <c r="F255" i="60"/>
  <c r="I255" i="60"/>
  <c r="F71" i="21"/>
  <c r="E8" i="21"/>
  <c r="D25" i="58"/>
  <c r="C33" i="58"/>
  <c r="I47" i="58"/>
  <c r="E51" i="60"/>
  <c r="E38" i="81"/>
  <c r="G38" i="81"/>
  <c r="I48" i="58"/>
  <c r="D16" i="55"/>
  <c r="F104" i="32"/>
  <c r="G103" i="7"/>
  <c r="F185" i="32"/>
  <c r="F186" i="32"/>
  <c r="F188" i="32"/>
  <c r="F189" i="32"/>
  <c r="E185" i="32"/>
  <c r="E186" i="32"/>
  <c r="E188" i="32"/>
  <c r="E189" i="32"/>
  <c r="G178" i="32"/>
  <c r="E50" i="32"/>
  <c r="F178" i="32"/>
  <c r="D50" i="32"/>
  <c r="D185" i="32"/>
  <c r="D186" i="32"/>
  <c r="D188" i="32"/>
  <c r="D189" i="32"/>
  <c r="D46" i="81"/>
  <c r="F293" i="51"/>
  <c r="F307" i="51"/>
  <c r="G298" i="51"/>
  <c r="H298" i="51"/>
  <c r="F314" i="60"/>
  <c r="I314" i="60"/>
  <c r="G291" i="51"/>
  <c r="H291" i="51"/>
  <c r="F307" i="60"/>
  <c r="I307" i="60"/>
  <c r="F160" i="32"/>
  <c r="F161" i="32"/>
  <c r="F163" i="32"/>
  <c r="F164" i="32"/>
  <c r="D160" i="32"/>
  <c r="D161" i="32"/>
  <c r="D163" i="32"/>
  <c r="D164" i="32"/>
  <c r="E160" i="32"/>
  <c r="E161" i="32"/>
  <c r="E163" i="32"/>
  <c r="E164" i="32"/>
  <c r="G142" i="32"/>
  <c r="G143" i="32"/>
  <c r="G141" i="32"/>
  <c r="G140" i="32"/>
  <c r="G139" i="32"/>
  <c r="G138" i="32"/>
  <c r="G137" i="32"/>
  <c r="G130" i="32"/>
  <c r="G127" i="32"/>
  <c r="G126" i="32"/>
  <c r="G125" i="32"/>
  <c r="G124" i="32"/>
  <c r="G123" i="32"/>
  <c r="G122" i="32"/>
  <c r="G121" i="32"/>
  <c r="G120" i="32"/>
  <c r="G119" i="32"/>
  <c r="G284" i="51"/>
  <c r="H284" i="51"/>
  <c r="F300" i="60"/>
  <c r="I300" i="60"/>
  <c r="G292" i="51"/>
  <c r="H292" i="51"/>
  <c r="F308" i="60"/>
  <c r="I308" i="60"/>
  <c r="G290" i="51"/>
  <c r="H290" i="51"/>
  <c r="F306" i="60"/>
  <c r="I306" i="60"/>
  <c r="G300" i="51"/>
  <c r="H300" i="51"/>
  <c r="F316" i="60"/>
  <c r="I316" i="60"/>
  <c r="G283" i="51"/>
  <c r="H283" i="51"/>
  <c r="F299" i="60"/>
  <c r="I299" i="60"/>
  <c r="G286" i="51"/>
  <c r="H286" i="51"/>
  <c r="F302" i="60"/>
  <c r="I302" i="60"/>
  <c r="G285" i="51"/>
  <c r="H285" i="51"/>
  <c r="F301" i="60"/>
  <c r="I301" i="60"/>
  <c r="D154" i="32"/>
  <c r="D46" i="32"/>
  <c r="G46" i="32"/>
  <c r="F287" i="51"/>
  <c r="F306" i="51"/>
  <c r="F301" i="51"/>
  <c r="F308" i="51"/>
  <c r="G189" i="32"/>
  <c r="D51" i="32"/>
  <c r="G51" i="32"/>
  <c r="D27" i="58"/>
  <c r="E38" i="32"/>
  <c r="E7" i="32"/>
  <c r="C36" i="58"/>
  <c r="F27" i="58"/>
  <c r="F11" i="21"/>
  <c r="E52" i="32"/>
  <c r="E10" i="32"/>
  <c r="H50" i="32"/>
  <c r="D14" i="55"/>
  <c r="M14" i="55"/>
  <c r="D8" i="55"/>
  <c r="M8" i="55"/>
  <c r="D13" i="55"/>
  <c r="M13" i="55"/>
  <c r="D10" i="55"/>
  <c r="M10" i="55"/>
  <c r="D7" i="55"/>
  <c r="D9" i="55"/>
  <c r="M9" i="55"/>
  <c r="D11" i="55"/>
  <c r="M11" i="55"/>
  <c r="D12" i="55"/>
  <c r="M12" i="55"/>
  <c r="D15" i="55"/>
  <c r="M15" i="55"/>
  <c r="E38" i="58"/>
  <c r="E37" i="58"/>
  <c r="D37" i="58"/>
  <c r="D38" i="58"/>
  <c r="F13" i="21"/>
  <c r="F21" i="21"/>
  <c r="I7" i="21"/>
  <c r="G41" i="32"/>
  <c r="E293" i="51"/>
  <c r="E307" i="51"/>
  <c r="G289" i="51"/>
  <c r="I315" i="60"/>
  <c r="G112" i="32"/>
  <c r="E40" i="32"/>
  <c r="H12" i="21"/>
  <c r="D7" i="32"/>
  <c r="I19" i="21"/>
  <c r="F262" i="60"/>
  <c r="C38" i="58"/>
  <c r="G50" i="32"/>
  <c r="F112" i="32"/>
  <c r="D40" i="32"/>
  <c r="D42" i="32"/>
  <c r="I49" i="58"/>
  <c r="I52" i="58"/>
  <c r="H8" i="21"/>
  <c r="H38" i="32"/>
  <c r="F155" i="60"/>
  <c r="E13" i="21"/>
  <c r="E21" i="21"/>
  <c r="H7" i="21"/>
  <c r="G37" i="32"/>
  <c r="G38" i="32"/>
  <c r="E257" i="60"/>
  <c r="I313" i="60"/>
  <c r="G295" i="51"/>
  <c r="E301" i="51"/>
  <c r="E308" i="51"/>
  <c r="E287" i="51"/>
  <c r="G282" i="51"/>
  <c r="I312" i="60"/>
  <c r="E309" i="51"/>
  <c r="G302" i="51"/>
  <c r="E263" i="60"/>
  <c r="H19" i="21"/>
  <c r="H9" i="21"/>
  <c r="E155" i="60"/>
  <c r="E264" i="60"/>
  <c r="F8" i="65"/>
  <c r="E225" i="60"/>
  <c r="G129" i="32"/>
  <c r="G128" i="32"/>
  <c r="F303" i="51"/>
  <c r="F310" i="51"/>
  <c r="E146" i="32"/>
  <c r="D45" i="32"/>
  <c r="G45" i="32"/>
  <c r="G164" i="32"/>
  <c r="D47" i="32"/>
  <c r="G47" i="32"/>
  <c r="D52" i="32"/>
  <c r="D10" i="32"/>
  <c r="C28" i="58"/>
  <c r="C29" i="58"/>
  <c r="C37" i="58"/>
  <c r="F146" i="32"/>
  <c r="E45" i="32"/>
  <c r="H45" i="32"/>
  <c r="F164" i="60"/>
  <c r="I164" i="60"/>
  <c r="H263" i="60"/>
  <c r="E265" i="60"/>
  <c r="E87" i="60"/>
  <c r="E306" i="51"/>
  <c r="E310" i="51"/>
  <c r="E303" i="51"/>
  <c r="G301" i="51"/>
  <c r="G308" i="51"/>
  <c r="H295" i="51"/>
  <c r="I155" i="60"/>
  <c r="F157" i="60"/>
  <c r="E255" i="60"/>
  <c r="I55" i="58"/>
  <c r="I58" i="58"/>
  <c r="F14" i="65"/>
  <c r="F27" i="65"/>
  <c r="F9" i="65"/>
  <c r="F11" i="65"/>
  <c r="F10" i="65"/>
  <c r="F12" i="65"/>
  <c r="F265" i="60"/>
  <c r="F87" i="60"/>
  <c r="I262" i="60"/>
  <c r="E42" i="32"/>
  <c r="H40" i="32"/>
  <c r="H52" i="32"/>
  <c r="H10" i="32"/>
  <c r="F169" i="60"/>
  <c r="E170" i="60"/>
  <c r="I11" i="21"/>
  <c r="I13" i="21"/>
  <c r="I21" i="21"/>
  <c r="G7" i="32"/>
  <c r="H264" i="60"/>
  <c r="H155" i="60"/>
  <c r="E256" i="60"/>
  <c r="E165" i="60"/>
  <c r="H302" i="51"/>
  <c r="H309" i="51"/>
  <c r="F175" i="54"/>
  <c r="G309" i="51"/>
  <c r="G287" i="51"/>
  <c r="H282" i="51"/>
  <c r="H257" i="60"/>
  <c r="E156" i="60"/>
  <c r="H13" i="21"/>
  <c r="H21" i="21"/>
  <c r="E254" i="60"/>
  <c r="H7" i="32"/>
  <c r="G40" i="32"/>
  <c r="G52" i="32"/>
  <c r="E169" i="60"/>
  <c r="E259" i="60"/>
  <c r="G293" i="51"/>
  <c r="G307" i="51"/>
  <c r="H289" i="51"/>
  <c r="E160" i="60"/>
  <c r="F254" i="60"/>
  <c r="D23" i="55"/>
  <c r="E16" i="55"/>
  <c r="D25" i="55"/>
  <c r="D26" i="55"/>
  <c r="D24" i="55"/>
  <c r="D22" i="55"/>
  <c r="D27" i="55"/>
  <c r="M7" i="55"/>
  <c r="M16" i="55"/>
  <c r="E22" i="55"/>
  <c r="H22" i="55"/>
  <c r="F347" i="60"/>
  <c r="E24" i="55"/>
  <c r="H24" i="55"/>
  <c r="F349" i="60"/>
  <c r="D21" i="55"/>
  <c r="E26" i="55"/>
  <c r="H26" i="55"/>
  <c r="F351" i="60"/>
  <c r="E23" i="55"/>
  <c r="H23" i="55"/>
  <c r="F348" i="60"/>
  <c r="E25" i="55"/>
  <c r="H25" i="55"/>
  <c r="F350" i="60"/>
  <c r="E21" i="55"/>
  <c r="E27" i="55"/>
  <c r="H27" i="55"/>
  <c r="F352" i="60"/>
  <c r="F131" i="32"/>
  <c r="E44" i="32"/>
  <c r="E48" i="32"/>
  <c r="E9" i="32"/>
  <c r="E131" i="32"/>
  <c r="D44" i="32"/>
  <c r="G44" i="32"/>
  <c r="D28" i="55"/>
  <c r="I348" i="60"/>
  <c r="I347" i="60"/>
  <c r="I352" i="60"/>
  <c r="I350" i="60"/>
  <c r="I351" i="60"/>
  <c r="I349" i="60"/>
  <c r="H169" i="60"/>
  <c r="E171" i="60"/>
  <c r="E69" i="60"/>
  <c r="G42" i="32"/>
  <c r="E159" i="60"/>
  <c r="H287" i="51"/>
  <c r="F298" i="60"/>
  <c r="F258" i="60"/>
  <c r="F260" i="60"/>
  <c r="H170" i="60"/>
  <c r="F171" i="60"/>
  <c r="F69" i="60"/>
  <c r="I169" i="60"/>
  <c r="I171" i="60"/>
  <c r="I69" i="60"/>
  <c r="E8" i="32"/>
  <c r="I265" i="60"/>
  <c r="I87" i="60"/>
  <c r="E229" i="60"/>
  <c r="E226" i="60"/>
  <c r="H255" i="60"/>
  <c r="F66" i="60"/>
  <c r="I157" i="60"/>
  <c r="H265" i="60"/>
  <c r="H87" i="60"/>
  <c r="E28" i="55"/>
  <c r="H21" i="55"/>
  <c r="I254" i="60"/>
  <c r="H160" i="60"/>
  <c r="H293" i="51"/>
  <c r="H307" i="51"/>
  <c r="F173" i="54"/>
  <c r="F305" i="60"/>
  <c r="H259" i="60"/>
  <c r="G10" i="32"/>
  <c r="D8" i="32"/>
  <c r="H254" i="60"/>
  <c r="E260" i="60"/>
  <c r="E22" i="60"/>
  <c r="H156" i="60"/>
  <c r="G303" i="51"/>
  <c r="G306" i="51"/>
  <c r="G310" i="51"/>
  <c r="H165" i="60"/>
  <c r="H256" i="60"/>
  <c r="E157" i="60"/>
  <c r="E166" i="60"/>
  <c r="F159" i="60"/>
  <c r="H42" i="32"/>
  <c r="E164" i="60"/>
  <c r="E227" i="60"/>
  <c r="F158" i="54"/>
  <c r="E228" i="60"/>
  <c r="E231" i="60"/>
  <c r="F15" i="65"/>
  <c r="F16" i="65"/>
  <c r="F91" i="65"/>
  <c r="F17" i="65"/>
  <c r="F18" i="65"/>
  <c r="H301" i="51"/>
  <c r="H308" i="51"/>
  <c r="F174" i="54"/>
  <c r="F311" i="60"/>
  <c r="D48" i="32"/>
  <c r="D9" i="32"/>
  <c r="D11" i="32"/>
  <c r="H44" i="32"/>
  <c r="F163" i="60"/>
  <c r="F21" i="60"/>
  <c r="E232" i="60"/>
  <c r="F317" i="60"/>
  <c r="F92" i="60"/>
  <c r="I311" i="60"/>
  <c r="E235" i="60"/>
  <c r="F87" i="65"/>
  <c r="F85" i="65"/>
  <c r="F84" i="65"/>
  <c r="F86" i="65"/>
  <c r="F89" i="65"/>
  <c r="F90" i="65"/>
  <c r="F88" i="65"/>
  <c r="F83" i="65"/>
  <c r="E233" i="60"/>
  <c r="H164" i="60"/>
  <c r="H8" i="32"/>
  <c r="H166" i="60"/>
  <c r="G48" i="32"/>
  <c r="G53" i="32"/>
  <c r="E163" i="60"/>
  <c r="E21" i="60"/>
  <c r="E267" i="60"/>
  <c r="E78" i="60"/>
  <c r="E81" i="60"/>
  <c r="E86" i="60"/>
  <c r="E88" i="60"/>
  <c r="E95" i="60"/>
  <c r="F135" i="60"/>
  <c r="F78" i="60"/>
  <c r="F267" i="60"/>
  <c r="F86" i="60"/>
  <c r="F88" i="60"/>
  <c r="H28" i="55"/>
  <c r="F346" i="60"/>
  <c r="I66" i="60"/>
  <c r="E53" i="32"/>
  <c r="H303" i="51"/>
  <c r="H306" i="51"/>
  <c r="G8" i="32"/>
  <c r="H171" i="60"/>
  <c r="H69" i="60"/>
  <c r="E234" i="60"/>
  <c r="F161" i="60"/>
  <c r="I159" i="60"/>
  <c r="E66" i="60"/>
  <c r="H260" i="60"/>
  <c r="H22" i="60"/>
  <c r="F309" i="60"/>
  <c r="F91" i="60"/>
  <c r="I305" i="60"/>
  <c r="E11" i="32"/>
  <c r="I258" i="60"/>
  <c r="I260" i="60"/>
  <c r="H157" i="60"/>
  <c r="I298" i="60"/>
  <c r="F303" i="60"/>
  <c r="H159" i="60"/>
  <c r="E161" i="60"/>
  <c r="E67" i="60"/>
  <c r="D53" i="32"/>
  <c r="H48" i="32"/>
  <c r="H9" i="32"/>
  <c r="H11" i="32"/>
  <c r="H161" i="60"/>
  <c r="H67" i="60"/>
  <c r="F319" i="60"/>
  <c r="F79" i="60"/>
  <c r="F90" i="60"/>
  <c r="F93" i="60"/>
  <c r="I78" i="60"/>
  <c r="I267" i="60"/>
  <c r="I86" i="60"/>
  <c r="I88" i="60"/>
  <c r="I161" i="60"/>
  <c r="H310" i="51"/>
  <c r="F172" i="54"/>
  <c r="F176" i="54"/>
  <c r="F177" i="54"/>
  <c r="E167" i="60"/>
  <c r="E68" i="60"/>
  <c r="E70" i="60"/>
  <c r="E134" i="60"/>
  <c r="H163" i="60"/>
  <c r="J88" i="65"/>
  <c r="I88" i="65"/>
  <c r="F100" i="65"/>
  <c r="J89" i="65"/>
  <c r="I89" i="65"/>
  <c r="F101" i="65"/>
  <c r="J84" i="65"/>
  <c r="I84" i="65"/>
  <c r="F96" i="65"/>
  <c r="J87" i="65"/>
  <c r="I87" i="65"/>
  <c r="F99" i="65"/>
  <c r="I317" i="60"/>
  <c r="I92" i="60"/>
  <c r="I303" i="60"/>
  <c r="H66" i="60"/>
  <c r="I309" i="60"/>
  <c r="I91" i="60"/>
  <c r="H78" i="60"/>
  <c r="H81" i="60"/>
  <c r="H267" i="60"/>
  <c r="H86" i="60"/>
  <c r="H88" i="60"/>
  <c r="H95" i="60"/>
  <c r="F67" i="60"/>
  <c r="F167" i="60"/>
  <c r="F68" i="60"/>
  <c r="I163" i="60"/>
  <c r="I167" i="60"/>
  <c r="I68" i="60"/>
  <c r="F353" i="60"/>
  <c r="I346" i="60"/>
  <c r="G9" i="32"/>
  <c r="G11" i="32"/>
  <c r="J83" i="65"/>
  <c r="I83" i="65"/>
  <c r="F95" i="65"/>
  <c r="J90" i="65"/>
  <c r="I90" i="65"/>
  <c r="F102" i="65"/>
  <c r="J86" i="65"/>
  <c r="I86" i="65"/>
  <c r="F98" i="65"/>
  <c r="J85" i="65"/>
  <c r="I85" i="65"/>
  <c r="F97" i="65"/>
  <c r="H53" i="32"/>
  <c r="H102" i="65"/>
  <c r="I353" i="60"/>
  <c r="F94" i="60"/>
  <c r="F80" i="60"/>
  <c r="F70" i="60"/>
  <c r="H96" i="65"/>
  <c r="H101" i="65"/>
  <c r="H100" i="65"/>
  <c r="I21" i="60"/>
  <c r="E173" i="60"/>
  <c r="H98" i="65"/>
  <c r="H95" i="65"/>
  <c r="F103" i="65"/>
  <c r="F24" i="65"/>
  <c r="I91" i="65"/>
  <c r="G14" i="65"/>
  <c r="H97" i="65"/>
  <c r="J91" i="65"/>
  <c r="H91" i="65"/>
  <c r="F173" i="60"/>
  <c r="J134" i="60"/>
  <c r="I79" i="60"/>
  <c r="I319" i="60"/>
  <c r="I90" i="60"/>
  <c r="I93" i="60"/>
  <c r="H99" i="65"/>
  <c r="H167" i="60"/>
  <c r="H21" i="60"/>
  <c r="I67" i="60"/>
  <c r="I70" i="60"/>
  <c r="I173" i="60"/>
  <c r="G99" i="65"/>
  <c r="E140" i="60"/>
  <c r="E144" i="60"/>
  <c r="E141" i="60"/>
  <c r="E142" i="60"/>
  <c r="E139" i="60"/>
  <c r="E143" i="60"/>
  <c r="H68" i="60"/>
  <c r="H70" i="60"/>
  <c r="H173" i="60"/>
  <c r="J99" i="65"/>
  <c r="I99" i="65"/>
  <c r="K134" i="60"/>
  <c r="G97" i="65"/>
  <c r="G17" i="65"/>
  <c r="F231" i="60"/>
  <c r="G15" i="65"/>
  <c r="G16" i="65"/>
  <c r="G18" i="65"/>
  <c r="H14" i="65"/>
  <c r="H103" i="65"/>
  <c r="J95" i="65"/>
  <c r="G98" i="65"/>
  <c r="J100" i="65"/>
  <c r="I100" i="65"/>
  <c r="J101" i="65"/>
  <c r="I101" i="65"/>
  <c r="G96" i="65"/>
  <c r="J102" i="65"/>
  <c r="I102" i="65"/>
  <c r="J97" i="65"/>
  <c r="I97" i="65"/>
  <c r="G24" i="65"/>
  <c r="E24" i="65"/>
  <c r="G95" i="65"/>
  <c r="J98" i="65"/>
  <c r="I98" i="65"/>
  <c r="G100" i="65"/>
  <c r="G101" i="65"/>
  <c r="J96" i="65"/>
  <c r="I96" i="65"/>
  <c r="E138" i="60"/>
  <c r="E136" i="60"/>
  <c r="E137" i="60"/>
  <c r="E135" i="60"/>
  <c r="P156" i="60"/>
  <c r="I80" i="60"/>
  <c r="I94" i="60"/>
  <c r="G102" i="65"/>
  <c r="E23" i="65"/>
  <c r="F23" i="65"/>
  <c r="E22" i="65"/>
  <c r="E25" i="65"/>
  <c r="F25" i="65"/>
  <c r="J103" i="65"/>
  <c r="H24" i="65"/>
  <c r="J24" i="65"/>
  <c r="I24" i="65"/>
  <c r="F235" i="60"/>
  <c r="H18" i="65"/>
  <c r="E146" i="60"/>
  <c r="E145" i="60"/>
  <c r="P157" i="60"/>
  <c r="P158" i="60"/>
  <c r="G103" i="65"/>
  <c r="I95" i="65"/>
  <c r="I103" i="65"/>
  <c r="G231" i="60"/>
  <c r="I14" i="65"/>
  <c r="H231" i="60"/>
  <c r="F233" i="60"/>
  <c r="H16" i="65"/>
  <c r="F232" i="60"/>
  <c r="H15" i="65"/>
  <c r="F234" i="60"/>
  <c r="H17" i="65"/>
  <c r="Q134" i="60"/>
  <c r="D277" i="58"/>
  <c r="F57" i="81"/>
  <c r="P134" i="60"/>
  <c r="C277" i="58"/>
  <c r="E57" i="81"/>
  <c r="G234" i="60"/>
  <c r="I17" i="65"/>
  <c r="H234" i="60"/>
  <c r="G232" i="60"/>
  <c r="I15" i="65"/>
  <c r="H232" i="60"/>
  <c r="G25" i="65"/>
  <c r="F70" i="65"/>
  <c r="E26" i="65"/>
  <c r="F26" i="65"/>
  <c r="F22" i="65"/>
  <c r="I16" i="65"/>
  <c r="H233" i="60"/>
  <c r="G233" i="60"/>
  <c r="F245" i="60"/>
  <c r="F164" i="54"/>
  <c r="G235" i="60"/>
  <c r="I18" i="65"/>
  <c r="H235" i="60"/>
  <c r="G23" i="65"/>
  <c r="F64" i="65"/>
  <c r="H103" i="32"/>
  <c r="H100" i="32"/>
  <c r="H85" i="32"/>
  <c r="H91" i="32"/>
  <c r="H84" i="32"/>
  <c r="H145" i="32"/>
  <c r="H144" i="32"/>
  <c r="H110" i="32"/>
  <c r="H90" i="32"/>
  <c r="H109" i="32"/>
  <c r="H174" i="32"/>
  <c r="H177" i="32"/>
  <c r="H176" i="32"/>
  <c r="H173" i="32"/>
  <c r="H81" i="32"/>
  <c r="H172" i="32"/>
  <c r="H89" i="32"/>
  <c r="H99" i="32"/>
  <c r="H171" i="32"/>
  <c r="H82" i="32"/>
  <c r="H88" i="32"/>
  <c r="H106" i="32"/>
  <c r="H83" i="32"/>
  <c r="H175" i="32"/>
  <c r="F36" i="32"/>
  <c r="H107" i="32"/>
  <c r="H108" i="32"/>
  <c r="H101" i="32"/>
  <c r="H102" i="32"/>
  <c r="F51" i="32"/>
  <c r="H125" i="32"/>
  <c r="H121" i="32"/>
  <c r="H137" i="32"/>
  <c r="H141" i="32"/>
  <c r="H119" i="32"/>
  <c r="H127" i="32"/>
  <c r="H126" i="32"/>
  <c r="H124" i="32"/>
  <c r="I36" i="32"/>
  <c r="H138" i="32"/>
  <c r="H123" i="32"/>
  <c r="F41" i="32"/>
  <c r="H130" i="32"/>
  <c r="H139" i="32"/>
  <c r="H142" i="32"/>
  <c r="H140" i="32"/>
  <c r="F50" i="32"/>
  <c r="F37" i="32"/>
  <c r="F46" i="32"/>
  <c r="H120" i="32"/>
  <c r="H122" i="32"/>
  <c r="H129" i="32"/>
  <c r="F7" i="32"/>
  <c r="I51" i="32"/>
  <c r="I38" i="32"/>
  <c r="F145" i="54"/>
  <c r="G155" i="60"/>
  <c r="F40" i="32"/>
  <c r="F10" i="32"/>
  <c r="H143" i="32"/>
  <c r="F45" i="32"/>
  <c r="F47" i="32"/>
  <c r="H128" i="32"/>
  <c r="I46" i="32"/>
  <c r="I37" i="32"/>
  <c r="I50" i="32"/>
  <c r="I41" i="32"/>
  <c r="G169" i="60"/>
  <c r="I40" i="32"/>
  <c r="G170" i="60"/>
  <c r="G160" i="60"/>
  <c r="I52" i="32"/>
  <c r="F148" i="54"/>
  <c r="G156" i="60"/>
  <c r="I47" i="32"/>
  <c r="J155" i="60"/>
  <c r="E73" i="81"/>
  <c r="I7" i="32"/>
  <c r="G165" i="60"/>
  <c r="F44" i="32"/>
  <c r="I45" i="32"/>
  <c r="F9" i="32"/>
  <c r="J156" i="60"/>
  <c r="E74" i="81"/>
  <c r="F8" i="32"/>
  <c r="I10" i="32"/>
  <c r="J170" i="60"/>
  <c r="E82" i="81"/>
  <c r="J169" i="60"/>
  <c r="E81" i="81"/>
  <c r="G159" i="60"/>
  <c r="J165" i="60"/>
  <c r="E79" i="81"/>
  <c r="G164" i="60"/>
  <c r="G166" i="60"/>
  <c r="I44" i="32"/>
  <c r="J160" i="60"/>
  <c r="E76" i="81"/>
  <c r="I42" i="32"/>
  <c r="F146" i="54"/>
  <c r="J159" i="60"/>
  <c r="E75" i="81"/>
  <c r="I8" i="32"/>
  <c r="J166" i="60"/>
  <c r="E80" i="81"/>
  <c r="J164" i="60"/>
  <c r="E78" i="81"/>
  <c r="G163" i="60"/>
  <c r="G21" i="60"/>
  <c r="F181" i="54"/>
  <c r="I53" i="32"/>
  <c r="I48" i="32"/>
  <c r="F147" i="54"/>
  <c r="I9" i="32"/>
  <c r="J163" i="60"/>
  <c r="E77" i="81"/>
  <c r="J21" i="60"/>
  <c r="E83" i="81"/>
  <c r="J161" i="60"/>
  <c r="J67" i="60"/>
  <c r="H92" i="32"/>
  <c r="J167" i="60"/>
  <c r="J68" i="60"/>
  <c r="G161" i="60"/>
  <c r="G67" i="60"/>
  <c r="F48" i="32"/>
  <c r="F42" i="32"/>
  <c r="F52" i="32"/>
  <c r="H178" i="32"/>
  <c r="I11" i="32"/>
  <c r="G171" i="60"/>
  <c r="G69" i="60"/>
  <c r="F11" i="32"/>
  <c r="H131" i="32"/>
  <c r="H146" i="32"/>
  <c r="F38" i="32"/>
  <c r="H86" i="32"/>
  <c r="I245" i="60"/>
  <c r="G26" i="65"/>
  <c r="F77" i="65"/>
  <c r="F68" i="65"/>
  <c r="G68" i="65"/>
  <c r="F67" i="65"/>
  <c r="G67" i="65"/>
  <c r="F69" i="65"/>
  <c r="G69" i="65"/>
  <c r="F66" i="65"/>
  <c r="G66" i="65"/>
  <c r="G167" i="60"/>
  <c r="G68" i="60"/>
  <c r="J171" i="60"/>
  <c r="J69" i="60"/>
  <c r="J157" i="60"/>
  <c r="G157" i="60"/>
  <c r="H111" i="32"/>
  <c r="H104" i="32"/>
  <c r="F61" i="65"/>
  <c r="G61" i="65"/>
  <c r="F63" i="65"/>
  <c r="G63" i="65"/>
  <c r="F62" i="65"/>
  <c r="G62" i="65"/>
  <c r="F60" i="65"/>
  <c r="G60" i="65"/>
  <c r="G22" i="65"/>
  <c r="F57" i="65"/>
  <c r="E27" i="65"/>
  <c r="H93" i="32"/>
  <c r="H112" i="32"/>
  <c r="F53" i="32"/>
  <c r="F105" i="65"/>
  <c r="F54" i="65"/>
  <c r="G54" i="65"/>
  <c r="F55" i="65"/>
  <c r="G55" i="65"/>
  <c r="F56" i="65"/>
  <c r="G56" i="65"/>
  <c r="F53" i="65"/>
  <c r="G53" i="65"/>
  <c r="J63" i="65"/>
  <c r="I63" i="65"/>
  <c r="G173" i="60"/>
  <c r="G66" i="60"/>
  <c r="G70" i="60"/>
  <c r="G70" i="65"/>
  <c r="J66" i="65"/>
  <c r="I66" i="65"/>
  <c r="J67" i="65"/>
  <c r="I67" i="65"/>
  <c r="F76" i="65"/>
  <c r="G76" i="65"/>
  <c r="F73" i="65"/>
  <c r="G73" i="65"/>
  <c r="F74" i="65"/>
  <c r="G74" i="65"/>
  <c r="F75" i="65"/>
  <c r="G75" i="65"/>
  <c r="G64" i="65"/>
  <c r="J60" i="65"/>
  <c r="I60" i="65"/>
  <c r="G27" i="65"/>
  <c r="J62" i="65"/>
  <c r="I62" i="65"/>
  <c r="J61" i="65"/>
  <c r="I61" i="65"/>
  <c r="J173" i="60"/>
  <c r="J66" i="60"/>
  <c r="J70" i="60"/>
  <c r="J69" i="65"/>
  <c r="I69" i="65"/>
  <c r="J68" i="65"/>
  <c r="I68" i="65"/>
  <c r="J76" i="65"/>
  <c r="I76" i="65"/>
  <c r="F149" i="54"/>
  <c r="E8" i="60"/>
  <c r="J64" i="65"/>
  <c r="H64" i="65"/>
  <c r="H23" i="65"/>
  <c r="J23" i="65"/>
  <c r="J75" i="65"/>
  <c r="I75" i="65"/>
  <c r="G77" i="65"/>
  <c r="J73" i="65"/>
  <c r="I73" i="65"/>
  <c r="J70" i="65"/>
  <c r="H70" i="65"/>
  <c r="H25" i="65"/>
  <c r="J25" i="65"/>
  <c r="J56" i="65"/>
  <c r="I56" i="65"/>
  <c r="J54" i="65"/>
  <c r="I54" i="65"/>
  <c r="I64" i="65"/>
  <c r="J74" i="65"/>
  <c r="I74" i="65"/>
  <c r="I70" i="65"/>
  <c r="G57" i="65"/>
  <c r="J53" i="65"/>
  <c r="I53" i="65"/>
  <c r="J55" i="65"/>
  <c r="I55" i="65"/>
  <c r="G105" i="65"/>
  <c r="I57" i="65"/>
  <c r="I77" i="65"/>
  <c r="F163" i="54"/>
  <c r="F244" i="60"/>
  <c r="I23" i="65"/>
  <c r="J57" i="65"/>
  <c r="J77" i="65"/>
  <c r="H77" i="65"/>
  <c r="H26" i="65"/>
  <c r="J26" i="65"/>
  <c r="M19" i="7"/>
  <c r="F8" i="60"/>
  <c r="N19" i="7"/>
  <c r="F246" i="60"/>
  <c r="F165" i="54"/>
  <c r="I25" i="65"/>
  <c r="I105" i="65"/>
  <c r="F247" i="60"/>
  <c r="F166" i="54"/>
  <c r="I26" i="65"/>
  <c r="I246" i="60"/>
  <c r="H57" i="65"/>
  <c r="H22" i="65"/>
  <c r="J22" i="65"/>
  <c r="J105" i="65"/>
  <c r="H105" i="65"/>
  <c r="I244" i="60"/>
  <c r="I247" i="60"/>
  <c r="F243" i="60"/>
  <c r="J27" i="65"/>
  <c r="H27" i="65"/>
  <c r="F162" i="54"/>
  <c r="F167" i="54"/>
  <c r="I22" i="65"/>
  <c r="I27" i="65"/>
  <c r="G10" i="65"/>
  <c r="F227" i="60"/>
  <c r="G8" i="65"/>
  <c r="H10" i="65"/>
  <c r="F22" i="60"/>
  <c r="F248" i="60"/>
  <c r="I243" i="60"/>
  <c r="I248" i="60"/>
  <c r="I22" i="60"/>
  <c r="F225" i="60"/>
  <c r="G9" i="65"/>
  <c r="G12" i="65"/>
  <c r="G11" i="65"/>
  <c r="H8" i="65"/>
  <c r="F77" i="60"/>
  <c r="F81" i="60"/>
  <c r="Q156" i="60"/>
  <c r="F84" i="60"/>
  <c r="F95" i="60"/>
  <c r="G227" i="60"/>
  <c r="I10" i="65"/>
  <c r="H227" i="60"/>
  <c r="F226" i="60"/>
  <c r="H9" i="65"/>
  <c r="F228" i="60"/>
  <c r="H11" i="65"/>
  <c r="H142" i="60"/>
  <c r="H140" i="60"/>
  <c r="H137" i="60"/>
  <c r="H144" i="60"/>
  <c r="H143" i="60"/>
  <c r="H136" i="60"/>
  <c r="H135" i="60"/>
  <c r="H141" i="60"/>
  <c r="H138" i="60"/>
  <c r="H139" i="60"/>
  <c r="G225" i="60"/>
  <c r="I8" i="65"/>
  <c r="F229" i="60"/>
  <c r="H12" i="65"/>
  <c r="I77" i="60"/>
  <c r="I81" i="60"/>
  <c r="I84" i="60"/>
  <c r="I95" i="60"/>
  <c r="J135" i="60"/>
  <c r="H146" i="60"/>
  <c r="I135" i="60"/>
  <c r="H145" i="60"/>
  <c r="Q157" i="60"/>
  <c r="Q158" i="60"/>
  <c r="J143" i="60"/>
  <c r="I143" i="60"/>
  <c r="J142" i="60"/>
  <c r="I142" i="60"/>
  <c r="G229" i="60"/>
  <c r="I12" i="65"/>
  <c r="H229" i="60"/>
  <c r="H225" i="60"/>
  <c r="F159" i="54"/>
  <c r="I139" i="60"/>
  <c r="J139" i="60"/>
  <c r="I141" i="60"/>
  <c r="J141" i="60"/>
  <c r="I136" i="60"/>
  <c r="J136" i="60"/>
  <c r="J144" i="60"/>
  <c r="I144" i="60"/>
  <c r="J140" i="60"/>
  <c r="I140" i="60"/>
  <c r="G228" i="60"/>
  <c r="I11" i="65"/>
  <c r="H228" i="60"/>
  <c r="J138" i="60"/>
  <c r="I138" i="60"/>
  <c r="J137" i="60"/>
  <c r="I137" i="60"/>
  <c r="I9" i="65"/>
  <c r="H226" i="60"/>
  <c r="G226" i="60"/>
  <c r="H88" i="21"/>
  <c r="H86" i="21"/>
  <c r="H57" i="21"/>
  <c r="H110" i="21"/>
  <c r="H130" i="21"/>
  <c r="H54" i="21"/>
  <c r="H131" i="21"/>
  <c r="H138" i="21"/>
  <c r="H143" i="21"/>
  <c r="H79" i="21"/>
  <c r="H67" i="21"/>
  <c r="H53" i="21"/>
  <c r="H70" i="21"/>
  <c r="H140" i="21"/>
  <c r="H111" i="21"/>
  <c r="H77" i="21"/>
  <c r="H69" i="21"/>
  <c r="H56" i="21"/>
  <c r="H112" i="21"/>
  <c r="H137" i="21"/>
  <c r="H84" i="21"/>
  <c r="H141" i="21"/>
  <c r="H139" i="21"/>
  <c r="H129" i="21"/>
  <c r="H55" i="21"/>
  <c r="H85" i="21"/>
  <c r="H142" i="21"/>
  <c r="H68" i="21"/>
  <c r="H78" i="21"/>
  <c r="H87" i="21"/>
  <c r="H76" i="21"/>
  <c r="H128" i="21"/>
  <c r="H52" i="21"/>
  <c r="H136" i="21"/>
  <c r="H109" i="21"/>
  <c r="H66" i="21"/>
  <c r="H75" i="21"/>
  <c r="E124" i="21"/>
  <c r="G16" i="21"/>
  <c r="G17" i="21"/>
  <c r="G18" i="21"/>
  <c r="G10" i="21"/>
  <c r="H105" i="21"/>
  <c r="G315" i="60"/>
  <c r="G316" i="60"/>
  <c r="G300" i="60"/>
  <c r="G308" i="60"/>
  <c r="G299" i="60"/>
  <c r="J16" i="21"/>
  <c r="G8" i="21"/>
  <c r="J17" i="21"/>
  <c r="J18" i="21"/>
  <c r="G314" i="60"/>
  <c r="G306" i="60"/>
  <c r="G12" i="21"/>
  <c r="G7" i="21"/>
  <c r="J10" i="21"/>
  <c r="G313" i="60"/>
  <c r="G302" i="60"/>
  <c r="G301" i="60"/>
  <c r="G312" i="60"/>
  <c r="G307" i="60"/>
  <c r="G9" i="21"/>
  <c r="G263" i="60"/>
  <c r="J8" i="21"/>
  <c r="G262" i="60"/>
  <c r="J308" i="60"/>
  <c r="J316" i="60"/>
  <c r="G11" i="21"/>
  <c r="J307" i="60"/>
  <c r="J301" i="60"/>
  <c r="J313" i="60"/>
  <c r="J314" i="60"/>
  <c r="J299" i="60"/>
  <c r="J300" i="60"/>
  <c r="J315" i="60"/>
  <c r="G264" i="60"/>
  <c r="J9" i="21"/>
  <c r="J312" i="60"/>
  <c r="J302" i="60"/>
  <c r="G257" i="60"/>
  <c r="J7" i="21"/>
  <c r="J12" i="21"/>
  <c r="J306" i="60"/>
  <c r="G348" i="60"/>
  <c r="G350" i="60"/>
  <c r="G349" i="60"/>
  <c r="G255" i="60"/>
  <c r="J263" i="60"/>
  <c r="D29" i="55"/>
  <c r="J257" i="60"/>
  <c r="G347" i="60"/>
  <c r="G352" i="60"/>
  <c r="G351" i="60"/>
  <c r="J11" i="21"/>
  <c r="J262" i="60"/>
  <c r="G259" i="60"/>
  <c r="G254" i="60"/>
  <c r="G256" i="60"/>
  <c r="J264" i="60"/>
  <c r="G311" i="60"/>
  <c r="J255" i="60"/>
  <c r="J350" i="60"/>
  <c r="E29" i="55"/>
  <c r="J352" i="60"/>
  <c r="J349" i="60"/>
  <c r="J348" i="60"/>
  <c r="J256" i="60"/>
  <c r="J254" i="60"/>
  <c r="J259" i="60"/>
  <c r="G305" i="60"/>
  <c r="G258" i="60"/>
  <c r="G298" i="60"/>
  <c r="J351" i="60"/>
  <c r="J347" i="60"/>
  <c r="J311" i="60"/>
  <c r="J258" i="60"/>
  <c r="J305" i="60"/>
  <c r="G346" i="60"/>
  <c r="H29" i="55"/>
  <c r="J298" i="60"/>
  <c r="J346" i="60"/>
  <c r="G245" i="60"/>
  <c r="J245" i="60"/>
  <c r="G246" i="60"/>
  <c r="G244" i="60"/>
  <c r="G247" i="60"/>
  <c r="J246" i="60"/>
  <c r="J244" i="60"/>
  <c r="J247" i="60"/>
  <c r="G243" i="60"/>
  <c r="J243" i="60"/>
  <c r="G22" i="60"/>
  <c r="F182" i="54"/>
  <c r="F183" i="54"/>
  <c r="J22" i="60"/>
  <c r="I145" i="60"/>
  <c r="I146" i="60"/>
  <c r="E13" i="60"/>
  <c r="M24" i="7"/>
  <c r="J146" i="60"/>
  <c r="J145" i="60"/>
  <c r="K145" i="60"/>
  <c r="K135" i="60"/>
  <c r="J309" i="60"/>
  <c r="J91" i="60"/>
  <c r="J303" i="60"/>
  <c r="J90" i="60"/>
  <c r="G353" i="60"/>
  <c r="G80" i="60"/>
  <c r="F154" i="54"/>
  <c r="G303" i="60"/>
  <c r="G90" i="60"/>
  <c r="G309" i="60"/>
  <c r="G91" i="60"/>
  <c r="G317" i="60"/>
  <c r="G92" i="60"/>
  <c r="H80" i="21"/>
  <c r="H113" i="21"/>
  <c r="H58" i="21"/>
  <c r="J317" i="60"/>
  <c r="J92" i="60"/>
  <c r="H71" i="21"/>
  <c r="H132" i="21"/>
  <c r="J248" i="60"/>
  <c r="J84" i="60"/>
  <c r="J353" i="60"/>
  <c r="J80" i="60"/>
  <c r="H144" i="21"/>
  <c r="P135" i="60"/>
  <c r="C280" i="58"/>
  <c r="E60" i="81"/>
  <c r="K136" i="60"/>
  <c r="Q135" i="60"/>
  <c r="D280" i="58"/>
  <c r="F60" i="81"/>
  <c r="R135" i="60"/>
  <c r="K146" i="60"/>
  <c r="E11" i="60"/>
  <c r="G260" i="60"/>
  <c r="J265" i="60"/>
  <c r="J87" i="60"/>
  <c r="J13" i="21"/>
  <c r="F168" i="54"/>
  <c r="G265" i="60"/>
  <c r="G87" i="60"/>
  <c r="G13" i="21"/>
  <c r="G248" i="60"/>
  <c r="J260" i="60"/>
  <c r="J19" i="21"/>
  <c r="G19" i="21"/>
  <c r="H89" i="21"/>
  <c r="G94" i="60"/>
  <c r="G21" i="21"/>
  <c r="G93" i="60"/>
  <c r="J93" i="60"/>
  <c r="J77" i="60"/>
  <c r="G319" i="60"/>
  <c r="G79" i="60"/>
  <c r="F153" i="54"/>
  <c r="J94" i="60"/>
  <c r="J319" i="60"/>
  <c r="J79" i="60"/>
  <c r="J21" i="21"/>
  <c r="F169" i="54"/>
  <c r="F170" i="54"/>
  <c r="F178" i="54"/>
  <c r="F179" i="54"/>
  <c r="G84" i="60"/>
  <c r="G77" i="60"/>
  <c r="M22" i="7"/>
  <c r="F11" i="60"/>
  <c r="N22" i="7"/>
  <c r="R136" i="60"/>
  <c r="Q136" i="60"/>
  <c r="D281" i="58"/>
  <c r="F61" i="81"/>
  <c r="P136" i="60"/>
  <c r="C281" i="58"/>
  <c r="E61" i="81"/>
  <c r="K137" i="60"/>
  <c r="J78" i="60"/>
  <c r="J267" i="60"/>
  <c r="J86" i="60"/>
  <c r="J88" i="60"/>
  <c r="G267" i="60"/>
  <c r="G86" i="60"/>
  <c r="G88" i="60"/>
  <c r="G78" i="60"/>
  <c r="F152" i="54"/>
  <c r="J95" i="60"/>
  <c r="J81" i="60"/>
  <c r="R137" i="60"/>
  <c r="P137" i="60"/>
  <c r="C282" i="58"/>
  <c r="E62" i="81"/>
  <c r="Q137" i="60"/>
  <c r="D282" i="58"/>
  <c r="F62" i="81"/>
  <c r="K138" i="60"/>
  <c r="F151" i="54"/>
  <c r="G81" i="60"/>
  <c r="E9" i="60"/>
  <c r="G95" i="60"/>
  <c r="F155" i="54"/>
  <c r="R138" i="60"/>
  <c r="Q138" i="60"/>
  <c r="D283" i="58"/>
  <c r="F63" i="81"/>
  <c r="P138" i="60"/>
  <c r="C283" i="58"/>
  <c r="E63" i="81"/>
  <c r="K139" i="60"/>
  <c r="M20" i="7"/>
  <c r="F9" i="60"/>
  <c r="N20" i="7"/>
  <c r="E10" i="60"/>
  <c r="R139" i="60"/>
  <c r="Q139" i="60"/>
  <c r="D284" i="58"/>
  <c r="F64" i="81"/>
  <c r="K140" i="60"/>
  <c r="P139" i="60"/>
  <c r="C284" i="58"/>
  <c r="E64" i="81"/>
  <c r="E12" i="60"/>
  <c r="M21" i="7"/>
  <c r="F10" i="60"/>
  <c r="N21" i="7"/>
  <c r="R140" i="60"/>
  <c r="P140" i="60"/>
  <c r="C285" i="58"/>
  <c r="E65" i="81"/>
  <c r="Q140" i="60"/>
  <c r="D285" i="58"/>
  <c r="F65" i="81"/>
  <c r="K141" i="60"/>
  <c r="R141" i="60"/>
  <c r="Q141" i="60"/>
  <c r="D286" i="58"/>
  <c r="F66" i="81"/>
  <c r="P141" i="60"/>
  <c r="C286" i="58"/>
  <c r="E66" i="81"/>
  <c r="K142" i="60"/>
  <c r="M23" i="7"/>
  <c r="P15" i="60"/>
  <c r="R142" i="60"/>
  <c r="P142" i="60"/>
  <c r="C287" i="58"/>
  <c r="E67" i="81"/>
  <c r="Q142" i="60"/>
  <c r="D287" i="58"/>
  <c r="F67" i="81"/>
  <c r="K143" i="60"/>
  <c r="R143" i="60"/>
  <c r="Q143" i="60"/>
  <c r="D288" i="58"/>
  <c r="F68" i="81"/>
  <c r="K144" i="60"/>
  <c r="P143" i="60"/>
  <c r="C288" i="58"/>
  <c r="E68" i="81"/>
  <c r="R144" i="60"/>
  <c r="E106" i="60"/>
  <c r="Q144" i="60"/>
  <c r="D289" i="58"/>
  <c r="F69" i="81"/>
  <c r="P144" i="60"/>
  <c r="C289" i="58"/>
  <c r="E69" i="81"/>
  <c r="E18" i="81"/>
  <c r="G18" i="81"/>
  <c r="E107" i="60"/>
  <c r="E19" i="81"/>
  <c r="G19" i="81"/>
  <c r="E14" i="60"/>
  <c r="M25" i="7"/>
  <c r="E105" i="60"/>
  <c r="B278" i="58"/>
  <c r="D58" i="81"/>
  <c r="G51" i="81"/>
  <c r="E17" i="81"/>
  <c r="G17" i="81"/>
  <c r="D22" i="81"/>
</calcChain>
</file>

<file path=xl/sharedStrings.xml><?xml version="1.0" encoding="utf-8"?>
<sst xmlns="http://schemas.openxmlformats.org/spreadsheetml/2006/main" count="2041" uniqueCount="1277">
  <si>
    <t>Hide After</t>
  </si>
  <si>
    <t>The "IT Project ROI and Business Case Toolkit" enables development of comprehensive business cases for IT projects</t>
  </si>
  <si>
    <t>It helps organizations to assess, quantify, and communicate the costs, benefits, business value, and ROI of many types of enterprise-scale technology-based initiatives.  It also helps to assess the organization’s current (as-is) and expected (to-be) IT spending (TCO) levels and the solution’s impact on a variety of key performance indicators (KPIs).  It produces summary business case reports (Word and PowerPoint) that can be edited and presented to decision-makers.
The tool estimates the costs required to implement the new capabilities/solution, including hardware, software, IT labor, services, and user labor. It simulates benefits (user productivity, IT TCO savings, business cost savings, revenue growth, and KPI improvements) enabled by the solutions selected.  
It supports both rapid (30 minute) and highly detailed assessments.  The tool uses robust industry best-practice methods and research to assist the organization in assessing the costs and benefits of investing in the IT initiative.  However, this tool cannot accurately/credibly estimate costs/benefits without review, validation, and adjustment of key data inputs.  These inputs should be customized to each particular organization and scenario.</t>
  </si>
  <si>
    <t>This tool was developed by AnalysisPlace for use with the Excel-to-Word Document Automation Add-In:</t>
  </si>
  <si>
    <t>https://analysisplace.com/Document-Automation</t>
  </si>
  <si>
    <t>You may customize this document for your own organization's use.</t>
  </si>
  <si>
    <t>Version 5.0</t>
  </si>
  <si>
    <t>This workbook contains many common components. When customizing this document, most organization's find they only need a portion of the components contained within and these may need to be substantially customized.</t>
  </si>
  <si>
    <t>Workbook Table of Contents</t>
  </si>
  <si>
    <t>Worksheet Name</t>
  </si>
  <si>
    <t>Title</t>
  </si>
  <si>
    <t>Description</t>
  </si>
  <si>
    <t>Profile</t>
  </si>
  <si>
    <t>Organizational Profile</t>
  </si>
  <si>
    <t>Collects information about: organization size, location, and industry; end user types and labor costs; summary maturity levels; and the initiative to be modeled.  This information is used to estimate default values for all costs and benefits throughout the rest of the model.  It displays a summary of costs and benefits of the scenario modeled.</t>
  </si>
  <si>
    <t>Solution</t>
  </si>
  <si>
    <t>Project/Initiative Descriptions</t>
  </si>
  <si>
    <t>For Reference Only:  Lists key features, capabilities, benefits, and common vendors/products for the 18 sample initiative types included in the model.</t>
  </si>
  <si>
    <t>Costs</t>
  </si>
  <si>
    <t>Implementation Costs</t>
  </si>
  <si>
    <t>Estimates all costs (direct and indirect) needed to implement, fully adopt, and support the solution.  Cost categories include: hardware, software, IT labor, and user labor, including one-time and annual on-going costs.</t>
  </si>
  <si>
    <t>TCO</t>
  </si>
  <si>
    <t>IT Spending (TCO)</t>
  </si>
  <si>
    <t xml:space="preserve">Estimates as-is (current) and to-be (after the project is implemented) IT spending.  </t>
  </si>
  <si>
    <t>Direct Savings</t>
  </si>
  <si>
    <t>Direct Cost Savings</t>
  </si>
  <si>
    <t>Estimates non-labor direct IT and business cost savings enabled by the solution.</t>
  </si>
  <si>
    <t>Productivity</t>
  </si>
  <si>
    <t>User Productivity Benefits</t>
  </si>
  <si>
    <t>Estimates user time/labor savings enabled by the solution.  First estimates the amount of time users spend conducting common business activities then estimates how much the solution is expected to increase the efficiency of conducting key activities.  The time savings is discounted using a "Productivity Conversion Factor", then converted into $ value.</t>
  </si>
  <si>
    <t>Revenue</t>
  </si>
  <si>
    <t>Revenue Impact</t>
  </si>
  <si>
    <t>Estimates how and how much the solution is expected to increase revenue.  The benefit is the profit on the incremental revenue.</t>
  </si>
  <si>
    <t>KPIs</t>
  </si>
  <si>
    <t>Key Performance Indicator Assessment (Optional)</t>
  </si>
  <si>
    <t>Assessment of how the solution may impact a variety of business KPIs.  In this model, these KPI changes are not converted into financial benefits.</t>
  </si>
  <si>
    <t>ROI</t>
  </si>
  <si>
    <t>Financial Analysis</t>
  </si>
  <si>
    <t>Summary of costs &amp; benefits by type; Cash flow analysis; calculation of ROI, payback period, NPV, and IRR; and graphs</t>
  </si>
  <si>
    <t>Key Features</t>
  </si>
  <si>
    <t>• Supports many types of enterprise-scale technology initiatives.  Includes sample cost and benefit data for 18 common initiative types
• Comprehensive assessment of initiative costs and benefits
• Costs:  hardware; software; IT labor, training, and services; and user labor and training. All direct and indirect, one-time and on-going costs needed to implement and support the initiative. 
• Benefits:  IT labor TCO savings, other direct cost savings, user productivity benefits, revenue growth, and non-financial key performance indicators
• Calculates annual on-going IT spending (TCO - total cost of ownership), including hardware, software, internal IT personnel, external service providers, and telecommunications
• Comprehensive financial analysis. Calculates project cash flow, cost-benefit analysis, ROI, NPV, IRR, and payback period 
• Supports rapid (30 minute) or detailed assessments. This model was designed to provide either a rapid assessment (by just entering/selecting basic organizational profile and initiative information) or a very detailed assessment by modifying hundreds of detailed inputs.
• Provides default/sample values.  Default values (labor costs, user type mix, financial information, TCO, benefits, etc.) are provided based on selected industry, geography, organization size and initiative type to enable more rapid assessments.  Data/estimate sources are listed.  You may overwrite any of the pre-populated defaults.
• The workbook contains instructions, descriptions, and references.  Results are updated real-time and are displayed graphically throughout the model.  Although the model is user-friendly, we recommend users have at least a moderately-advanced understanding of business value concepts to develop a credible business case.</t>
  </si>
  <si>
    <t>Model Components / Flowchart</t>
  </si>
  <si>
    <t>The chart below illustrates the components of the model.</t>
  </si>
  <si>
    <t>Disclaimer</t>
  </si>
  <si>
    <t>This product is for informational purposes only.  AnalysisPlace MAKE NO WARRANTIES, EXPRESS, IMPLIED, OR STATUTORY, AS TO THE INFORMATION IN OR CREATED BY THIS PRODUCT.  This tool is intended to help guide organizations in better understanding approximate/potential costs and benefits. Due to limitations of simulation tools, actual results may differ significantly from results estimated in this tool. Investment decisions should not be based on the results of this model alone -- it is not intended to be a substitute for expert advice.
In no event shall AnalysisPlace or suppliers be liable for any damages, including those arising as a result of AnalysisPlace negligence, whether those damages are direct, consequential, incidental, or special, flowing from your use of or inability to use the tool, or information provided herewith, or results of the tool's use, even if AnalysisPlace has been advised of the possibility of such damages.</t>
  </si>
  <si>
    <t>Terms of Use</t>
  </si>
  <si>
    <t>By using the product, you accept our "Terms of Use". If you do not accept them, do not use the product.
Summary of terms:
 You MAY create derivative works from this product but only for use within your organization
 You MAY redistribute this product in its original state.  If you share this product with other organizations, you must maintain all copyright and other notices contained in this product
 You may NOT sell, rent, lease, or lend this product or portions/derivations of it without written permission from AnalysisPlace</t>
  </si>
  <si>
    <t>For more information, please see our Terms of Use and Privacy Policy:</t>
  </si>
  <si>
    <t>Terms of Use:  http://analysisplace.com/terms</t>
  </si>
  <si>
    <t>Privacy Statement:   http://analysisplace.com/privacy</t>
  </si>
  <si>
    <t>About the AnalysisPlace "Excel-to-Word Document Automation Add-In":</t>
  </si>
  <si>
    <t>AnalysisPlace builds the Excel-to-Word Documentation Add-in. Our Add-in helps corporations and entrepreneurs work smarter and faster by automating the updating of Word or PowerPoint from Excel assessments.</t>
  </si>
  <si>
    <t>The Excel-to-Word Document Automation Add-in automates updating of Excel-based content into Word and PowerPoint documents. Updatable content includes text, tables, and charts. It also makes it easy to link the “dynamic” content to be updated. Update any new or existing Word/PowerPoint document with content from any new or existing Excel workbook. It is easy to link existing spreadsheets and documents.</t>
  </si>
  <si>
    <t xml:space="preserve">The add-in can be used in a wide variety of document automation scenarios. Here are a few: 
- Customer business cases (from an Excel-based ROI/TCO Tool) 
- Personalized sales and marketing collateral, including proposals and quotes 
- Custom product documentation (from Excel sizing/capacity/configurator) 
- Recurring financial reports (from Excel analysis) 
- Custom datasheets (from engineering/scientific calculations in Excel)
The free "Basic" version does not require registration or login and is a great option to evaluate the add-in and for users with basic content automation needs. Fee-based versions are also available to enable premium and enterprise features and require an AnalysisPlace.com account. </t>
  </si>
  <si>
    <t>Support / Contact</t>
  </si>
  <si>
    <t>AnalysisPlace does not guarantee support for free tools.  However, we do encourage you to provide comments, suggestions, and feedback.</t>
  </si>
  <si>
    <t>Andrew Hall</t>
  </si>
  <si>
    <t>www.analysisplace.com</t>
  </si>
  <si>
    <t>©AnalysisPlace.  www.analysisplace.com</t>
  </si>
  <si>
    <t>This worksheet contains key inputs/assumptions that drive cost and benefit calculations throughout the model.  Defaults input values are provided based on industry, location, and organization size.  These default input values should be reviewed and modifed as appropriate.  A summary of the results is provided to the right to assist in viewing output implications of input changes.  This summary data will be updated as changes are made throughout the model.</t>
  </si>
  <si>
    <t>Required Organization/Project Data</t>
  </si>
  <si>
    <t>Summary Pre-view of Results</t>
  </si>
  <si>
    <t>Enter values or select the closest fit from the drop-down menus.  These are the most important inputs in the model.  Your answers to these key questions will have the most significant impact on default cost and benefit drivers through-out the rest of the model.</t>
  </si>
  <si>
    <t>Project Type</t>
  </si>
  <si>
    <t>Project Type - Select the initiative type from the drop-down box that most closely matches the initiative to be modeled</t>
  </si>
  <si>
    <t>Data Center / Server</t>
  </si>
  <si>
    <t>Project Scale (Investment level)</t>
  </si>
  <si>
    <t>Minor (e.g. enhancement/upgrade)</t>
  </si>
  <si>
    <t>This pre-populates all costs and benefits with sample data based on the initiative type.  If you do not want default values (all zeros), select "No Sample Data - Zero-out all costs/benefits". Sample data should not be used for making investment decisions.  Sample data is not meant to represent average/typical project results and is only parially based on research.  It should only be used as a starting point for assessing the business value of your project.  Initiative costs and benefits can differ substantially from one organization to another.</t>
  </si>
  <si>
    <t>Project Name:</t>
  </si>
  <si>
    <t>Project Description:</t>
  </si>
  <si>
    <t>Vendors / Products (Optional):</t>
  </si>
  <si>
    <t>Results Summary</t>
  </si>
  <si>
    <t>Organization Profile</t>
  </si>
  <si>
    <t>Organization Name</t>
  </si>
  <si>
    <t>Industry - select the closest-matching from the drop-down</t>
  </si>
  <si>
    <t xml:space="preserve">Industry is used to pre-select various default values </t>
  </si>
  <si>
    <t>Primary geographic location - select the closest-matching from the drop-down</t>
  </si>
  <si>
    <t>Used to scale labor costs and estimate default work hours per year</t>
  </si>
  <si>
    <t>Organization Size / Project Scope</t>
  </si>
  <si>
    <t>Enter known value for one (or more) or the following inputs for the portion of the enterprise/organization that is in scope (impacted by the project).  Other values are scaled based on the 1st value entered.  Project scope could be the entire organization (default), a business unit, a division, etc. Size/scope data is used to scale most costs/benefits throughout the tool.</t>
  </si>
  <si>
    <t>Employees / FTEs (in project scope)</t>
  </si>
  <si>
    <t>Revenue per FTE (000):</t>
  </si>
  <si>
    <t>Organization Revenue (Millions) in scope</t>
  </si>
  <si>
    <t>Million</t>
  </si>
  <si>
    <t>Number of PC Users (in scope)</t>
  </si>
  <si>
    <t xml:space="preserve">PC users as a % of employees: </t>
  </si>
  <si>
    <t>Total Number of PCs (in scope)</t>
  </si>
  <si>
    <t xml:space="preserve">Average PCs per PC User: </t>
  </si>
  <si>
    <t>Source of default data:  HCR Benchmark Metric Database and is based on analysis of data from HCR assessments and surveys, Fortune 500, Fortune Magazine and is industry-dependent (varies depending on industry selected above)</t>
  </si>
  <si>
    <t>Current Adoption of IT Capabilities and Best Practices</t>
  </si>
  <si>
    <t>Characterize your organization's adoption of needed IT Capabilities and Best Practices in the following 4 domains:</t>
  </si>
  <si>
    <t>Sales/Marketing</t>
  </si>
  <si>
    <t>2. Basic - We lag in effective adoption of capabilities compared to others in our industry</t>
  </si>
  <si>
    <t>Business Management</t>
  </si>
  <si>
    <t>Supply/Operations</t>
  </si>
  <si>
    <t>Technology Management &amp; Operations</t>
  </si>
  <si>
    <t>Purpose / Status of this Assessment</t>
  </si>
  <si>
    <t>This tool may upload data entered into this tool to a server database.  Your responses to the 2 questions below will help us determine if and how to use the collected data to improve future versions of the tool. Note that we will never share data you've entered into this tool and we will never publish anything that reveals your identity or the identity of the organization being assessed.</t>
  </si>
  <si>
    <t>Assessment Purpose / Status</t>
  </si>
  <si>
    <t>Testing / evaluation of this toolkit</t>
  </si>
  <si>
    <t>Confidence Level in Accuracy of the Data Entered and Results</t>
  </si>
  <si>
    <t>Low confidence - most data entered are quick estimates/guesses and may not be realistic</t>
  </si>
  <si>
    <t>Financial Information</t>
  </si>
  <si>
    <t>Default values are provided based on inputs above.  Defaults may be adequate for rapid/preliminary assessments, but otherwise should be reviewed/modified.</t>
  </si>
  <si>
    <t>Organization Financials</t>
  </si>
  <si>
    <t>Operating Margin % of Revenue</t>
  </si>
  <si>
    <t>Default value is based on industry average.  This margin rate is used to calculate the business value of incremental revenue enabled by the initiative</t>
  </si>
  <si>
    <t>Discount Rate / Cost of Capital (WACC)</t>
  </si>
  <si>
    <t>Used in Net Present Value calculations</t>
  </si>
  <si>
    <t>Expected annual revenue growth rate</t>
  </si>
  <si>
    <t>Annual growth rate increases on-going costs and benefits in the cash flow financial analysis.  Default is based on HCR analysis of ValueLine data</t>
  </si>
  <si>
    <t>Project Financial Data</t>
  </si>
  <si>
    <t xml:space="preserve">Duration of analysis (years) - Select from drop-down box. </t>
  </si>
  <si>
    <t>Years</t>
  </si>
  <si>
    <t>Does not include the deployment phase.  A 3-year life-expectancy is standard for most IT projects.  Some major initiatives may be 7+ years.</t>
  </si>
  <si>
    <t>Project Start Date</t>
  </si>
  <si>
    <t xml:space="preserve">Month   </t>
  </si>
  <si>
    <t xml:space="preserve">Year   </t>
  </si>
  <si>
    <t>Project implementation time (prior to realization of any benefits) - Months</t>
  </si>
  <si>
    <t>Months</t>
  </si>
  <si>
    <t>In this model, the implementation period starts when sigificant costs start to accrue and ends when benefits start to accrue (i.e. recurring costs &amp; benefits start to accrue at the end of the implementation period).  NPV calculations are based off the end of the implementation periond.</t>
  </si>
  <si>
    <t>Recurring benefit realization ramp-up</t>
  </si>
  <si>
    <t>Year 1</t>
  </si>
  <si>
    <t>Year 2</t>
  </si>
  <si>
    <t>Year 3</t>
  </si>
  <si>
    <t>Determines what portion of the annual recurring steady-state benefits is actually realized.  For many projects, only a portion of the steady-state benefits will actually be realized the first year (or two). View the cash flow for how this impacts outcome.</t>
  </si>
  <si>
    <t>Personnel Profile and Costs</t>
  </si>
  <si>
    <t>Default values are provided based on inputs above.  Defaults may be adequate for rapid/ballpark assessments, but otherwise should be reviewed/modified.</t>
  </si>
  <si>
    <t>User Type Mix</t>
  </si>
  <si>
    <t>% of PC Users</t>
  </si>
  <si>
    <t># of PC Users</t>
  </si>
  <si>
    <t>Portion of PC Users that are Information Workers (IWs)</t>
  </si>
  <si>
    <t>Portion of PC Users that are Data-entry or Structured-Task Workers</t>
  </si>
  <si>
    <t>Total PC-Users (# of Employees that use PCs on a regular basis)</t>
  </si>
  <si>
    <t>Information Workers (Knowledge Workers) perform non-routine, cognitive, or creative work that often requires both structured and unstructured information inputs from multiple sources -- and that is not repeated throughout the course of the work day or work week. Examples include a product manager, analyst, accountant, engineer, sales executive, CFO, or CIO.
Data-entry and Structured Task Workers perform routine, structured tasks typically in a repeated manner. Examples include a customer service representative, insurance claims processor, or inside sales representative.</t>
  </si>
  <si>
    <t>Labor Costs</t>
  </si>
  <si>
    <t>Burden rate (labor overhead as a % of cash compensation)*</t>
  </si>
  <si>
    <t>Standard Work Hours per Year</t>
  </si>
  <si>
    <t>* Non-cash benefits (such as medical insurance and Social Security) and occupancy costs (such as office space and supplies)</t>
  </si>
  <si>
    <t>Primary Site Locations - select the closest-matching from the drop-down box</t>
  </si>
  <si>
    <t>Suburban / Mixed</t>
  </si>
  <si>
    <t>Used to scale labor costs.  Urban labor costs tend to be 15-20% higher than suburban locations.</t>
  </si>
  <si>
    <t>Average Ann'l Cash Comp-ensation**</t>
  </si>
  <si>
    <t>Burden Rate</t>
  </si>
  <si>
    <t>Burdened Annual Labor Cost</t>
  </si>
  <si>
    <t>Burdened Weekly Labor Rate</t>
  </si>
  <si>
    <t>Burdened Hourly rate</t>
  </si>
  <si>
    <t>IT Staff Labor Costs</t>
  </si>
  <si>
    <t>Application development</t>
  </si>
  <si>
    <t>Application support</t>
  </si>
  <si>
    <t>Data center</t>
  </si>
  <si>
    <t>Desktop / Client</t>
  </si>
  <si>
    <t>Help desk</t>
  </si>
  <si>
    <t>Voice Network</t>
  </si>
  <si>
    <t>Data Network</t>
  </si>
  <si>
    <t>Management &amp; Administration</t>
  </si>
  <si>
    <t>Average (weighted)</t>
  </si>
  <si>
    <t>Source of salary data: based on HCR analysis of Bureau of Labor Statistics data and various Salary Surveys. Salary data is scaled based on industry, geography, and organization size.</t>
  </si>
  <si>
    <t>PC User Labor Costs</t>
  </si>
  <si>
    <t>IWs (Information Workers)</t>
  </si>
  <si>
    <t>Data-entry or Structured Task Workers</t>
  </si>
  <si>
    <t>** Base compensation plus bonuses</t>
  </si>
  <si>
    <t>Source of salary data: based on HCR analysis of U.S. Department of Labor, Bureau of Labor Statistics data; The World Bank, World Development Indicators Database; and Organisation for Economic Co-operation and Development.  Salary data is scaled based on industry, geography, and organization size.</t>
  </si>
  <si>
    <t>Hide after</t>
  </si>
  <si>
    <t>IT Project ROI and Business Case Toolkit</t>
  </si>
  <si>
    <t>Description of Sample Initiatives (for reference only)</t>
  </si>
  <si>
    <t>Sample data should not be used for making investment decisions.  Sample data is not meant to represent average/typical project results, is not based on research, and is not provided at the lowest level of detail.  It should only be used as a starting point for assessing the business value of your project.  Initiative costs and benefits will differ substantially from one organization to another.</t>
  </si>
  <si>
    <t>Infrastructure/Platform Technology Initiatives</t>
  </si>
  <si>
    <t>Initiative Type</t>
  </si>
  <si>
    <t>Key Features, Capabilities, Benefits</t>
  </si>
  <si>
    <t>Sample Vendors And Products</t>
  </si>
  <si>
    <t>PC/Client</t>
  </si>
  <si>
    <t>• Improved performance, reliability, security, manageability, productivity
• Notebook, desktop, thin-client, tablet</t>
  </si>
  <si>
    <t>• Microsoft Windows 7, Linux, Red Hat, Novell, Apple
• Dell, HP, Apple, Toshiba, Lenovo, Fujitsu, Acer, Sony, Gateway 
• Intel, AMD</t>
  </si>
  <si>
    <t>• Virtualization, consolidation, clustering, real-time infrastructure, self-service provisioning, power and cooling
• Improved performance, reliability, manageability, security
• Multi-core, 64-bit, RISC/Itanium, x86
• Web servers, application servers, DBMS servers, data warehouse servers, infrastructure servers, high performance computing servers</t>
  </si>
  <si>
    <t>• Microsoft Windows Server, Novell SUSE, Red hat, Unix, Solaris, IBM AIX, HP–UX
• IBM, HP, Dell, Sun, Fujitsu, Bull</t>
  </si>
  <si>
    <t>Infrastructure Mgmt / Networking</t>
  </si>
  <si>
    <t>• Asset inventory/management, OS management, configuration management, change management, systems management, software distribution, application packaging
• Directory services, group policy objects
• IPV6, LAN, WAN, bandwidth upgrades, mobile and wireless
• VOIP – voice over Internet protocol</t>
  </si>
  <si>
    <t>• Microsoft System Center Configuration Manager, IBM Tivoli, BMC Software, CA Unicenter, HP, LANDesk, Novell ZENworks, Symantec Altiris, Cisco Systems</t>
  </si>
  <si>
    <t>Storage</t>
  </si>
  <si>
    <t>• Digital storage of business data and documents
• Archival, records management, tape backup, SAN, NAS, disk arrays, iSCSI, fibre channel
• Capacity management, performance analysis, storage provisioning, quota management, event management</t>
  </si>
  <si>
    <t>• EMC, HP, IBM, Sun, Hitachi, EDS, Network Appliance
• IBM DB2, Microsoft Exchange, Microsoft SQL Server, Oracle, SAP</t>
  </si>
  <si>
    <t>Security</t>
  </si>
  <si>
    <t>• Security planning, assessment, incident/breach management 
• Identity and access management, encryption, smartcards, authentication, authorization, patch management
• Firewalls, antivirus, anti-malware, anti-spyware, network access control, information and data rights management</t>
  </si>
  <si>
    <t>• McAfee, Symantec, CA, Trend Micro
• Cisco Systems, NetIQ
• VeriSign, IBM, Unisys</t>
  </si>
  <si>
    <t>Application Development / Architecture</t>
  </si>
  <si>
    <t>• Improved software quality, integration, usability 
• Custom developed software
• Rapid application development
• Middleware, application server
• Web services, Service-Oriented Architecture, SaaS (software as a service)
• Enterprise architecture (EA)</t>
  </si>
  <si>
    <t>• Microsoft .NET, Visual Studio
• IBM WebSphere, Rational
• Sun Microsystems Java
• Java/J2EE/EE, Ruby on Rails, PHP, Python, Perl
• Oracle Fusion Middleware, Application Server
• BEA Systems WebLogic, JBoss (Red Hat), SAP NetWeaver</t>
  </si>
  <si>
    <t>Compliance, Governance, Risk</t>
  </si>
  <si>
    <t>• Methods and software to ease compliance with regulations such as HIPPA, Sarbanes-Oxley, Basel II
• ITIL, COBIT, Six Sigma, CMM, ISO 17799/9000, PMBOK
• Maturity / capability models
• Portfolio management, IT-business alignment, balanced scorecard, service level management, risk management, data security, sustainability
• Business continuity – disaster planning / recovery 
• IT governance, policies, internal audit, monitoring</t>
  </si>
  <si>
    <t>• Accenture, BearingPoint, CSC, Deloitte, Ernst &amp; Young, IBM, Infosys, KPMG, PricewaterhouseCoopers, Wipro
• BWise, IBM OpenPages, Thomson Reuters, Oracle, MetricStream, SAP, SAS</t>
  </si>
  <si>
    <t>Outsourcing</t>
  </si>
  <si>
    <t>• Outsource IT and business processes, applications, infrastructure, or initiatives to reduce costs and improve results
• Infrastructure management: helpdesk, on-site support, desktop management, data center services
• BPO – business process outsourcing
• Offshore services
• Application outsourcing, web hosting, cloud computing</t>
  </si>
  <si>
    <t>• Accenture, Capgemini, Cognizant, CSC, EDS, IBM, HP, Siemens, CompuCom, Infosys, Keane, Perot Systems, Satyam, TCS, Wipro, Getronics, Unisys
• AT&amp;T, IBM, MCI-Digex, Qwest, Rackspace, Verio</t>
  </si>
  <si>
    <t>Wireless/ Mobility</t>
  </si>
  <si>
    <t>• Wireless e-mail, mobile access to line-of-business applications, unified communications, 
• VPN, mobile remote access, telecommuting
• Handheld devices, smartphone, PDAs
• Wireless LAN/WAN, 802.11n, WiMAX, CDMA, UMTS, GPRS, EDGE</t>
  </si>
  <si>
    <t>• Microsoft Windows Phone, Palm, Symbian
• RIM BlackBerry, Nokia, Apple iPhone, Sharp, Motorola/Symbol, Fujitsu, 
• 3Com, Cisco Systems, Nortel Networks, Siemens
• Equant, AT&amp;T, MCI, BT, Sprint, Verizon</t>
  </si>
  <si>
    <t>Business Technology Initiatives</t>
  </si>
  <si>
    <t>Office Productivity Software</t>
  </si>
  <si>
    <t>• Word processing, spreadsheets, personal databases, presentation graphics software, personal information management, note-taking, task and project management, document creation and publishing</t>
  </si>
  <si>
    <t>• Microsoft Office
• OpenOffice.org
• Sun StarOffice
• Google Apps</t>
  </si>
  <si>
    <t>Messaging/ Collaboration</t>
  </si>
  <si>
    <t>• E-mail, calendaring/scheduling, task management, unified communications
• Real-time collaboration, presence, instant messaging, web conferencing
• Social computing, blogs, wikis
• Team workspaces, project management, discussion threads, document workflow</t>
  </si>
  <si>
    <t>• Microsoft SharePoint, Exchange, Live Meeting
• IBM Domino / Lotus Notes
• Oracle Collaboration Suite
• Sun Java Enterprise System
• Novell GroupWise
• WebEx Communications</t>
  </si>
  <si>
    <t>Content Management</t>
  </si>
  <si>
    <t>• Document management, web content management, document imaging, records management, digital asset management
• Knowledge management, information management
• Intranets, Extranets, Portals</t>
  </si>
  <si>
    <t>• Microsoft SharePoint, EMC Documentum, FileNet, Hummingbird, IBM Content Management, Interwoven, Mobius Management Systems, Open Text, Oracle Content Services, Stellent, and Vignette</t>
  </si>
  <si>
    <t>E-commerce / Internet</t>
  </si>
  <si>
    <t>• Web sites for external business information dissemination, marketing, sales transactions, etc.
• Web storefronts, shopping cart management, taxation, personalization, transaction management, settlement and product visualization 
• B2B, B2C, AJAX, mashups</t>
  </si>
  <si>
    <t>• LAMP, Microsoft, ATG, Escalate Retail, Comergent, Oracle, SAP</t>
  </si>
  <si>
    <t>Business Process Mgmt / Integration</t>
  </si>
  <si>
    <t>• Process modeling, monitoring and management 
• Workflow, business rules, automation, electronic forms
• BAM (business activity monitoring)
• EAI (enterprise application integration)</t>
  </si>
  <si>
    <t>• Microsoft BizTalk Server, Captaris Workflow, EMC Documentum, Global 360, IBM FileNet, Open Text
• Pegasystems, Oracle, SAP, TIBCO, webMethods, BEA Systems, SeeBeyond, GXS, Sterling Commerce</t>
  </si>
  <si>
    <t>Business Intelligence / Data Mgmt</t>
  </si>
  <si>
    <t>• Database management systems (DBMS), data warehousing, data marts, online transaction processing (OLTP)
• Master data management, data quality, metadata
• Financial planning, corporate performance management, reporting, analytics, dashboards, scorecards, enterprise search, ETL, OLAP, query</t>
  </si>
  <si>
    <t>• Microsoft SQL Server, Teradata, IBM, Oracle, MySQL, Ingres, PostgreSQL, Sybase
• Oracle Hyperion, Business Objects, Informatica, Cognos, Information Builders, MicroStrategy, SAS</t>
  </si>
  <si>
    <t>Business Applications (Vertical, LOB)</t>
  </si>
  <si>
    <t>• Wide variety of specialized software that helps organizations streamline business processes and improve results</t>
  </si>
  <si>
    <t>• Various products/vendors by business function and industry</t>
  </si>
  <si>
    <t>CRM</t>
  </si>
  <si>
    <t>• Customer Relationship Management
• Sales force automation (account, contact and opportunity management), marketing campaign management, customer information management, order entry, customer service management, customer analytics, product configurators, proposal generation
• Hosted CRM</t>
  </si>
  <si>
    <t>• Oracle Siebel, PeopleSoft
• Onyx, Sage, NetSuite, SAP CRM, Salesforce.com, Amdocs, Microsoft Dynamics CRM, SugarCRM</t>
  </si>
  <si>
    <t>ERP / Supply Chain</t>
  </si>
  <si>
    <t>• Enterprise resource planning:  supply chain management, operations/production management, inventory management, planning/scheduling,, finance/accounting, human resource management, product management, warehouse management, logistics, purchasing, order entry, CAD, etc.</t>
  </si>
  <si>
    <t>• SAP
• Oracle Fusion (E-Business Suite, J.D. Edwards, PeopleSoft)
• Lawson, Intentia, Infor, Sage, Ariba, Microsoft Dynamics</t>
  </si>
  <si>
    <t>No Sample Data - Zero-out all costs/benefits</t>
  </si>
  <si>
    <t>NA</t>
  </si>
  <si>
    <t>This worksheet estimates all costs (direct and indirect, one-time and annual recurring) needed to implement the initiative, including hardware, software, IT labor/services, and user labor costs.  Only include incremental costs required for the solution.  Results are summarized at the top.</t>
  </si>
  <si>
    <t>Summary</t>
  </si>
  <si>
    <t>Organization Total</t>
  </si>
  <si>
    <t>Per PC</t>
  </si>
  <si>
    <t>For Graphs</t>
  </si>
  <si>
    <t>Total Implementation Costs</t>
  </si>
  <si>
    <t>Total Implementation Costs
 (per User)</t>
  </si>
  <si>
    <t>Verticel Axis Left</t>
  </si>
  <si>
    <t>Total Costs</t>
  </si>
  <si>
    <t>Costs (per PC)</t>
  </si>
  <si>
    <t>Vertical Axis Right</t>
  </si>
  <si>
    <t>Horizontal Axis</t>
  </si>
  <si>
    <t>Detailed Summary</t>
  </si>
  <si>
    <t xml:space="preserve">Hardware </t>
  </si>
  <si>
    <t>This section estimates the value of all incremental client and servers (one-time and recurring) costs to successfully implement and maintain the solution.</t>
  </si>
  <si>
    <t>Cost per Unit</t>
  </si>
  <si>
    <t>Unit Label</t>
  </si>
  <si>
    <t>Unit Quantity</t>
  </si>
  <si>
    <t>Comments</t>
  </si>
  <si>
    <t>Client Hardware</t>
  </si>
  <si>
    <t>PCs</t>
  </si>
  <si>
    <t>PC Upgrades</t>
  </si>
  <si>
    <t>Peripherals</t>
  </si>
  <si>
    <t>Mobile Devices</t>
  </si>
  <si>
    <t>Other</t>
  </si>
  <si>
    <t>Sub Total</t>
  </si>
  <si>
    <t>Data Center Hardware</t>
  </si>
  <si>
    <t>Servers</t>
  </si>
  <si>
    <t>Storage (including backups, redundancy, power supplies, etc.)</t>
  </si>
  <si>
    <t>Terabytes</t>
  </si>
  <si>
    <t>Network Equipment</t>
  </si>
  <si>
    <t>Total</t>
  </si>
  <si>
    <t>* One-Time costs are typically incurred at the beginning of the project.  Annual Recurring costs are on-going costs necessary throughout the life of the project.</t>
  </si>
  <si>
    <t>Software</t>
  </si>
  <si>
    <t>The software license is typically a one-time cost.  Software maintenance (Software Assurance) is an optional annual recurring cost</t>
  </si>
  <si>
    <t>License Quantity</t>
  </si>
  <si>
    <t>One-Time (License)</t>
  </si>
  <si>
    <t>Annual Recurring (Main-tenance)</t>
  </si>
  <si>
    <t>Client Software</t>
  </si>
  <si>
    <t>Application A</t>
  </si>
  <si>
    <t>Application B</t>
  </si>
  <si>
    <t>Desktop Operating System</t>
  </si>
  <si>
    <t>Client Access Licenses (CALs)</t>
  </si>
  <si>
    <t>Server Software</t>
  </si>
  <si>
    <t>Server Operating System</t>
  </si>
  <si>
    <t>Database</t>
  </si>
  <si>
    <t>Server Application</t>
  </si>
  <si>
    <t>Utilities</t>
  </si>
  <si>
    <t>IT Labor, Services, &amp; Training</t>
  </si>
  <si>
    <t>This section estimates the value of all IT labor time, services, and training costs to successfully implement, adopt, and support the solution.</t>
  </si>
  <si>
    <t>One-time Implementation Labor/Services</t>
  </si>
  <si>
    <t>Time</t>
  </si>
  <si>
    <t>Time Unit</t>
  </si>
  <si>
    <t>Cost per Time Unit</t>
  </si>
  <si>
    <t>Planning, Evaluation and Project Management</t>
  </si>
  <si>
    <t>Person-weeks</t>
  </si>
  <si>
    <t>Engineering</t>
  </si>
  <si>
    <t>Development</t>
  </si>
  <si>
    <t>Lab Testing</t>
  </si>
  <si>
    <t>Pilot Testing</t>
  </si>
  <si>
    <t>Rollout</t>
  </si>
  <si>
    <t>Performance Tuning</t>
  </si>
  <si>
    <t>Documentation</t>
  </si>
  <si>
    <t>Implementation User Support</t>
  </si>
  <si>
    <t>Consultants</t>
  </si>
  <si>
    <t>External Services</t>
  </si>
  <si>
    <t>*1 Person-week is equivalent to 2 employees each dedicating 50% of a week to the task or 1 person dedicating 8 hrs per week over 5 weeks.</t>
  </si>
  <si>
    <t>Annual On-Going Labor/Services</t>
  </si>
  <si>
    <t>Maintenance</t>
  </si>
  <si>
    <t>Full Time Equivalents</t>
  </si>
  <si>
    <t>Support</t>
  </si>
  <si>
    <t>FTEs</t>
  </si>
  <si>
    <t>Customization</t>
  </si>
  <si>
    <t>Upgrades</t>
  </si>
  <si>
    <t>Bandwidth</t>
  </si>
  <si>
    <t>*FTE (Full Time Equivalent):  1 full time employee is equivalent to 2 employees each dedicating 50% of their work time to the task</t>
  </si>
  <si>
    <t>Incremental Help Desk Calls</t>
  </si>
  <si>
    <t>Percentage of users who contact the service desk due to issues/questions related to the solution implementation</t>
  </si>
  <si>
    <t>Number of contacts per user (who contact the help desk)</t>
  </si>
  <si>
    <t>Average service desk resolution time per call (in minutes)</t>
  </si>
  <si>
    <t>Additional service desk time (hours)</t>
  </si>
  <si>
    <t>IT Training</t>
  </si>
  <si>
    <t>Formal (Classroom) Training</t>
  </si>
  <si>
    <t>Internal Training</t>
  </si>
  <si>
    <t>Independent Learning (Self-Study)</t>
  </si>
  <si>
    <t>Staff trained with this type of training</t>
  </si>
  <si>
    <t>Hours of training per staff member</t>
  </si>
  <si>
    <t>Labor Cost per Hour</t>
  </si>
  <si>
    <t>Training time (labor cost)</t>
  </si>
  <si>
    <t>Class and Additional Fee Cost per trainee</t>
  </si>
  <si>
    <t>Cost per Employee Trained</t>
  </si>
  <si>
    <t>Total Cost</t>
  </si>
  <si>
    <t>End-User Labor &amp; Training</t>
  </si>
  <si>
    <t>This section estimates the value of user effort to upgrade to and effectively utilize the solution, including downtime, personalization time, resolution of issues, and user training.</t>
  </si>
  <si>
    <t>End-User Labor</t>
  </si>
  <si>
    <t>Hours per User Impacted</t>
  </si>
  <si>
    <t>% of Users Impacted</t>
  </si>
  <si>
    <t># Of Users</t>
  </si>
  <si>
    <t>Solution planning &amp; testing</t>
  </si>
  <si>
    <t>Downtime (Unable to be productive); e.g. during implementation of the solution</t>
  </si>
  <si>
    <t>Resolution of issues related to the new solution</t>
  </si>
  <si>
    <t>System configuration</t>
  </si>
  <si>
    <t>Data entry (not previously required)</t>
  </si>
  <si>
    <t>End-User Training</t>
  </si>
  <si>
    <t>External Classroom Training</t>
  </si>
  <si>
    <t>% of Employees trained</t>
  </si>
  <si>
    <t>Employees trained</t>
  </si>
  <si>
    <t>Hours of training per employee</t>
  </si>
  <si>
    <t>IT Spending (IT TCO)</t>
  </si>
  <si>
    <t>This worksheet contains an assessment of the annual TCO (Total Cost of Ownership) of the IT environment.  It includes an assessment of hardware, software, internal IT personnel, external IT Services, and telecommunications and networking operating costs.  It includes both current (as-is) as well as projected (to-be) TCO after the initiative has been implemented.  The TCO savings is the difference between the as-is TCO and the to-be TCO.  The to-be TCO does not include incremental costs resulting from the initiative -- these are included in "Costs".</t>
  </si>
  <si>
    <t>Source of default data:  HCR Benchmark Database.  IT spending and staffing data in the HCR Benchmark Database is based on the following sources:  HCR client assessments and surveys; HCR analysis of data from U.S. Census Bureau; the US Dept of Labor, Bureau of Labor Statistics; and the Organisation for Economic Co-Operation and Development (OECD).  The data has also been compared to and aligned with publicly available data from sources such as Gartner Group, Forrester Research, IDC, Computer Economics, InformationWeek, CIO.com, Applied Computer Research, Inc., and ITMarketIntelligence.com.</t>
  </si>
  <si>
    <t>Key IT Spending and Staffing Statistics</t>
  </si>
  <si>
    <t>As-Is</t>
  </si>
  <si>
    <t>To-Be</t>
  </si>
  <si>
    <t>Savings</t>
  </si>
  <si>
    <t>% Savings</t>
  </si>
  <si>
    <t>IT Spending</t>
  </si>
  <si>
    <t>Total IT Spending (000)</t>
  </si>
  <si>
    <t>IT Spending per Employee</t>
  </si>
  <si>
    <t>IT Spending per PC User</t>
  </si>
  <si>
    <t>IT Spending as % of Operating Expenses</t>
  </si>
  <si>
    <t>IT Spending as % of Revenue</t>
  </si>
  <si>
    <t>IT Staffing</t>
  </si>
  <si>
    <t>Total IT Personnel FTEs</t>
  </si>
  <si>
    <t>IT Personnel as % of Employees</t>
  </si>
  <si>
    <t>IT Personnel as % of PC Users</t>
  </si>
  <si>
    <t>Ratio of Employees to IT Personnel</t>
  </si>
  <si>
    <t>Ratio of PC Users to IT Personnel</t>
  </si>
  <si>
    <t>IT Spending by Category Summary</t>
  </si>
  <si>
    <t>Spending per PC User</t>
  </si>
  <si>
    <t>% of Total*</t>
  </si>
  <si>
    <t>Current Spending (000)</t>
  </si>
  <si>
    <t>% Re-duction</t>
  </si>
  <si>
    <t>Computing hardware, including maintenance and support contracts</t>
  </si>
  <si>
    <t>Packaged applications/software.  Includes software maintenance contracts.</t>
  </si>
  <si>
    <t>Includes salaries and benefits of internal staff as well as contractors.  Includes all staff who plan, develop, implement, maintain, or support IT Systems. Can include staff not in formal IT roles and partial FTEs (Full Time Equivalents).</t>
  </si>
  <si>
    <t>Includes costs for external services including consulting, application development, IT management / operations, and business process management / outsourcing</t>
  </si>
  <si>
    <t>Includes costs for network/communication equipment, mobile devices, fixed network services, and wireless/mobile telecom services</t>
  </si>
  <si>
    <t>IT Spending (TCO) Summary</t>
  </si>
  <si>
    <t>Annual IT Spending (per PC User)</t>
  </si>
  <si>
    <t>IT Spending by Category Details</t>
  </si>
  <si>
    <t>Hardware</t>
  </si>
  <si>
    <t>Max Reduct</t>
  </si>
  <si>
    <t>Applied</t>
  </si>
  <si>
    <t>Ttl</t>
  </si>
  <si>
    <t>Single-user client desktops and laptops</t>
  </si>
  <si>
    <t>Printers, copiers, MFPs, non-telecom handheld devices</t>
  </si>
  <si>
    <t>Multi-user systems including servers, mainframes, other data center computing hardware, and facilities</t>
  </si>
  <si>
    <t>Disk and tape storage systems and facilities</t>
  </si>
  <si>
    <t>Hardware Total</t>
  </si>
  <si>
    <t>Desktop / Productivity Applications</t>
  </si>
  <si>
    <t>Office and personal productivity applications, collaboration, e-mail, e-learning, content management</t>
  </si>
  <si>
    <t>Enterprise Applications</t>
  </si>
  <si>
    <t>ERP,SCM, CRM, HR, Finance</t>
  </si>
  <si>
    <t>Engineering, Vertical-Specific, &amp; Other Applications</t>
  </si>
  <si>
    <t>Engineering apps, CAD/CAM/CAE</t>
  </si>
  <si>
    <t>System/Infrastructure Software</t>
  </si>
  <si>
    <t>Application development, systems management, data management (DBMS), security, and operating systems software</t>
  </si>
  <si>
    <t>Software Total</t>
  </si>
  <si>
    <t>External IT Services</t>
  </si>
  <si>
    <t>Consulting</t>
  </si>
  <si>
    <t>Advisory services</t>
  </si>
  <si>
    <t>Application Development</t>
  </si>
  <si>
    <t xml:space="preserve">Software development, deployment, and integration </t>
  </si>
  <si>
    <t>IT Management / Operations</t>
  </si>
  <si>
    <t>Outsourcing of management and operations of IT processes, such as application management, help desk, or data center operations</t>
  </si>
  <si>
    <t>Business Process Management / Outsourcing</t>
  </si>
  <si>
    <t>Outsourcing of technology-intensive business processes</t>
  </si>
  <si>
    <t>External IT Services Total</t>
  </si>
  <si>
    <t>Telecom / Networking</t>
  </si>
  <si>
    <t>Network/Communication Equipment</t>
  </si>
  <si>
    <t>Includes switching and routing, cabling, PSTN, and mobile infrastructure.</t>
  </si>
  <si>
    <t>Cell phones, smartphones, pagers, etc. that connect to a wireless network.</t>
  </si>
  <si>
    <t>Fixed Network Services</t>
  </si>
  <si>
    <t>Voice and data transmissions services</t>
  </si>
  <si>
    <t>Wireless/Mobile Telecom Services</t>
  </si>
  <si>
    <t>Telecommunications Total</t>
  </si>
  <si>
    <t>Internal IT Staff</t>
  </si>
  <si>
    <t>Staffing Distribution</t>
  </si>
  <si>
    <t>Includes salaries and benefits of internal staff as well as contractors.  Includes all staff who plan, develop, implement, maintain, or support IT Systems (can include partial FTEs Full Time Equivalents and staff not in formal IT roles).</t>
  </si>
  <si>
    <t>Staff Distri-bution</t>
  </si>
  <si>
    <t>As-Is Staff Count</t>
  </si>
  <si>
    <t>To-Be Staff Count</t>
  </si>
  <si>
    <t>Application design, development, and testing</t>
  </si>
  <si>
    <t xml:space="preserve">Application support and maintenance </t>
  </si>
  <si>
    <t>Data center hardware management, operating system support, server application management, security, storage management, and database management</t>
  </si>
  <si>
    <t>PC hardware and software evaluation, PC image management, user admin &amp; provisioning, application management, software deployment, security management, data management, and backup</t>
  </si>
  <si>
    <t>Includes 1st-level support of hardware, software, networking, security/access, etc.</t>
  </si>
  <si>
    <t xml:space="preserve">Management and operation of the voice network </t>
  </si>
  <si>
    <t xml:space="preserve">Management and operation of the data network </t>
  </si>
  <si>
    <t>Planning, purchasing, finance and accounting, training, program management, administration, and senior management</t>
  </si>
  <si>
    <t>Internal Services Total</t>
  </si>
  <si>
    <t>Staffing Costs</t>
  </si>
  <si>
    <t>Fully Burdened FTE Cost</t>
  </si>
  <si>
    <t>As-Is Spending (000)</t>
  </si>
  <si>
    <t>% of Total</t>
  </si>
  <si>
    <t>As-Is Spending (per User)</t>
  </si>
  <si>
    <t>To-Be Spending (per User)</t>
  </si>
  <si>
    <t>Savings (per User)</t>
  </si>
  <si>
    <t>Total IT Spending</t>
  </si>
  <si>
    <t>IT Staffing Costs</t>
  </si>
  <si>
    <t>IT Staffing FTEs and Costs</t>
  </si>
  <si>
    <t>IT Staffing Costs per User per Year</t>
  </si>
  <si>
    <t>IT Spending per User</t>
  </si>
  <si>
    <t>FTEs (Full Time Equivalents)</t>
  </si>
  <si>
    <t>This workbook estimates various direct IT and business cost savings enabled by the solution.  Ensure that savings captured here are not duplicated in the TCO/Spending assessment.</t>
  </si>
  <si>
    <t>IT Savings</t>
  </si>
  <si>
    <t>Software - Clients</t>
  </si>
  <si>
    <t>Software - Servers</t>
  </si>
  <si>
    <t>IT Services</t>
  </si>
  <si>
    <t>Power/Electricity Usage</t>
  </si>
  <si>
    <t>Other IT Costs</t>
  </si>
  <si>
    <t>Business Savings</t>
  </si>
  <si>
    <t>Travel Expenses</t>
  </si>
  <si>
    <t>Business Services</t>
  </si>
  <si>
    <t>Other Business Expenses</t>
  </si>
  <si>
    <t>left</t>
  </si>
  <si>
    <t>Right</t>
  </si>
  <si>
    <t>Benefit (per PC)</t>
  </si>
  <si>
    <t>Direct Cost Savings - IT</t>
  </si>
  <si>
    <t>Reduce/Avoid Software Costs - PCs</t>
  </si>
  <si>
    <t>Capabilities/features included in the proposed solution that can reduce the need for current or planned costs of alternative software.</t>
  </si>
  <si>
    <t>% of PCs</t>
  </si>
  <si>
    <t>One-Time Costs Avoided</t>
  </si>
  <si>
    <t>Annual Costs Avoided</t>
  </si>
  <si>
    <t>Client application</t>
  </si>
  <si>
    <t>Utility software</t>
  </si>
  <si>
    <t>Infrastructure software</t>
  </si>
  <si>
    <t>Reduce/Avoid Software Costs - Servers</t>
  </si>
  <si>
    <t>Approximate Total Number of Existing Servers</t>
  </si>
  <si>
    <t>Quantity</t>
  </si>
  <si>
    <t>Server Applications</t>
  </si>
  <si>
    <t>Back-Up / Recovery</t>
  </si>
  <si>
    <t>Reduce/Avoid Hardware Costs</t>
  </si>
  <si>
    <t>Server Consolidation - avoid purchasing new servers</t>
  </si>
  <si>
    <t>Virtualization</t>
  </si>
  <si>
    <t>Replacement</t>
  </si>
  <si>
    <t>Reduce/Avoid IT Service Costs</t>
  </si>
  <si>
    <t>Consulting Services (Hours)</t>
  </si>
  <si>
    <t>Outsourcing (Hours)</t>
  </si>
  <si>
    <t>Reduce Power/Electricity Usage Costs</t>
  </si>
  <si>
    <t>Indicate the extent to which the solution is expected to reduce energy consumption (if any).</t>
  </si>
  <si>
    <t>Ann'l Total</t>
  </si>
  <si>
    <t>Average Watts per PC/Server</t>
  </si>
  <si>
    <t>Average Watts per monitor (CRT/LCD mix)</t>
  </si>
  <si>
    <t>kW-hours per day</t>
  </si>
  <si>
    <t>Electricity cost per kW-hour</t>
  </si>
  <si>
    <t>Electricity cost per PC/Server per year</t>
  </si>
  <si>
    <t>Number of PCs/Servers</t>
  </si>
  <si>
    <t>% PCs/Servers likely to be impacted by power saving measures</t>
  </si>
  <si>
    <t>Average time per day (hours) that power will be reduced for impacted PCs/Servers</t>
  </si>
  <si>
    <t>% reduction in power usage during this time</t>
  </si>
  <si>
    <t>Total Benefit per PC/Server</t>
  </si>
  <si>
    <t>Other IT Cost Avoidance/Reductions</t>
  </si>
  <si>
    <t>Reduce Bandwidth Costs</t>
  </si>
  <si>
    <t>Reduce Heating, Cooling Costs</t>
  </si>
  <si>
    <t>Reduce Other Facilities Costs</t>
  </si>
  <si>
    <t>Direct Cost Savings - Business</t>
  </si>
  <si>
    <t>Reduce/Avoid Travel Expenses</t>
  </si>
  <si>
    <t>Some solutions can reduce the need to travel (or enable telecommuting) by enabling remote electronic communication/collaboration, enabling remote access to files, data, and applications, etc.</t>
  </si>
  <si>
    <t># of employees impacted (travel regularly and are likely to benefit from the proposed solution)</t>
  </si>
  <si>
    <t>Average number of trips per year currently per impacted employee</t>
  </si>
  <si>
    <t>% of trips that could be avoided due to the proposed solution</t>
  </si>
  <si>
    <t>Trips avoided</t>
  </si>
  <si>
    <t>Cost of average trip</t>
  </si>
  <si>
    <t>Total Annual Benefit</t>
  </si>
  <si>
    <t>Project Total</t>
  </si>
  <si>
    <t>Reduce Business Services</t>
  </si>
  <si>
    <t>Reduce Other Business Expenses</t>
  </si>
  <si>
    <t>Supply costs</t>
  </si>
  <si>
    <t>Raw Material Costs</t>
  </si>
  <si>
    <t>Inventory carrying costs</t>
  </si>
  <si>
    <t>Operations</t>
  </si>
  <si>
    <t>User Productivity Benefits Assessment</t>
  </si>
  <si>
    <t>This worksheet estimates the business user productivity benefits enabled by the initiative.  These benefits are calculated based on time savings of conducting common business activities.  Although these benefits are "Indirect" (not part of the IT budget), they do typically improve profitability.  The method below tends to be more conservative (yet more comprehensive) than other methods of estimating business user impacts.  This productivity analysis only estimates efficiency improvements, not effectiveness (agility, decision-making) improvements.  A "conversion factor" is applied because not all saved time may be used to conduct other value-added activities.</t>
  </si>
  <si>
    <t>On This Worksheet:</t>
  </si>
  <si>
    <t>Allocation of Time Across Business Activity Categories</t>
  </si>
  <si>
    <t xml:space="preserve">Review/modify  how much time (as a portion % of total work time) users typically spend conducting the common business activities below.  Allocate time for the activity categories then the activity sub-categories.  This is done for both information workers and structured task workers.  The resulting hours per week is calculated.  </t>
  </si>
  <si>
    <t>Time Allocation</t>
  </si>
  <si>
    <t>Hrs / Wk</t>
  </si>
  <si>
    <t>Activity Category Totals</t>
  </si>
  <si>
    <t>Non-Computing-Related Activities</t>
  </si>
  <si>
    <t>Total (Must sum to 100%)</t>
  </si>
  <si>
    <t>Activity Sub-Categories</t>
  </si>
  <si>
    <t>Individual Computing</t>
  </si>
  <si>
    <t>Collaborative Computing</t>
  </si>
  <si>
    <t>PC Systems Management</t>
  </si>
  <si>
    <t>Time by Business Activity - Summary</t>
  </si>
  <si>
    <t>Time by Business Activity - Individual Computing</t>
  </si>
  <si>
    <t>Hours per Week</t>
  </si>
  <si>
    <t>Time by Business Activity - Collaborative Computing</t>
  </si>
  <si>
    <t>Time by Business Activity - PC Systems Management</t>
  </si>
  <si>
    <t>Allocation of Time Across Detailed Activities and Efficiency Improvements</t>
  </si>
  <si>
    <t>Allocate user time across each of the detailed activities below.  Hours per week is calculated/displayed.  Then estimate the percent improvement in activity efficiency enabled by the initiative.  Hours saved per week is calculated/displayed.  For example, if a user spends 1 hour per week conducting an activity, a 10% efficiency improvement should free up 6 minutes per week for other value-adding work. Note that a 10% efficiency improvement does not imply that the user will spend 10% less time conducting that activity (they may do more of that activity if they are more efficient at it); it does imply that the user is expected to complete that activity 10% more efficiently.</t>
  </si>
  <si>
    <t>Time %</t>
  </si>
  <si>
    <t>Hours / Week</t>
  </si>
  <si>
    <t>Efficiency Improve-ment</t>
  </si>
  <si>
    <t>Time Saved</t>
  </si>
  <si>
    <t>Activity</t>
  </si>
  <si>
    <t>Info Wrkr</t>
  </si>
  <si>
    <t>Task Wrkr</t>
  </si>
  <si>
    <t>Document Creation</t>
  </si>
  <si>
    <t>Document general layout/set-up</t>
  </si>
  <si>
    <t>Formatting documents</t>
  </si>
  <si>
    <t>Searching for functionality "how do I…"</t>
  </si>
  <si>
    <t>Creating graphics</t>
  </si>
  <si>
    <t>Typing, thinking</t>
  </si>
  <si>
    <t>Total (Time % must sum to 100%)</t>
  </si>
  <si>
    <t>Data &amp; Information Access/Analysis</t>
  </si>
  <si>
    <t>Internet browsing/viewing</t>
  </si>
  <si>
    <t>Searching for documents &amp; folders</t>
  </si>
  <si>
    <t>Collecting/combining information</t>
  </si>
  <si>
    <t>Finding/accessing/combining data</t>
  </si>
  <si>
    <t>Data analysis &amp; reporting</t>
  </si>
  <si>
    <t>Email, Calendar, Contact, &amp; Task Mgmt</t>
  </si>
  <si>
    <t>Processing email</t>
  </si>
  <si>
    <t>Managing calendar, contacts, and tasks</t>
  </si>
  <si>
    <t>Note-taking, management</t>
  </si>
  <si>
    <t>LOB Application-Related Activities</t>
  </si>
  <si>
    <t>Data entry into LOB (line-of-business) applications</t>
  </si>
  <si>
    <t>Using LOB applications (or the predecessor activity)</t>
  </si>
  <si>
    <t>Development time (macros, VBA, Access)</t>
  </si>
  <si>
    <t>Reading, thinking, etc.</t>
  </si>
  <si>
    <t>Document Collaboration</t>
  </si>
  <si>
    <t>Document collaboration (collaborative authoring, sharing, reviewing, debating, mark-up, change consolidation)</t>
  </si>
  <si>
    <t>Meetings (document-collaboration-focused)</t>
  </si>
  <si>
    <t xml:space="preserve">Document management </t>
  </si>
  <si>
    <t>Workflow (routing)</t>
  </si>
  <si>
    <t>Workflow activities – paper-based (review, approval, routing, signature collection)</t>
  </si>
  <si>
    <t>Workflow activities - electronic</t>
  </si>
  <si>
    <t>Coordination / Project Mgmt</t>
  </si>
  <si>
    <t>Document-creation-intensive project coordination/management (issue tracking, task management, document status)</t>
  </si>
  <si>
    <t>Coordination of other business activities</t>
  </si>
  <si>
    <t>Reporting - Disseminating and managing documentation/reports</t>
  </si>
  <si>
    <t>Social networking (connecting people, sharing re-usable knowledge)</t>
  </si>
  <si>
    <t>Support, Self-Help, &amp; Learning</t>
  </si>
  <si>
    <t>Support time (helpdesk)</t>
  </si>
  <si>
    <t>Unproductive resolution lag time (downtime)</t>
  </si>
  <si>
    <t>PC upgrade; OS re-install</t>
  </si>
  <si>
    <t>Install SW, patches, peripherals, drivers</t>
  </si>
  <si>
    <t>Self-help - system "how-to" questions; Peer support</t>
  </si>
  <si>
    <t>Performance</t>
  </si>
  <si>
    <t>Processor/HDD response time</t>
  </si>
  <si>
    <t>Network/Server response time</t>
  </si>
  <si>
    <t>PC start-up, shut-down, resume</t>
  </si>
  <si>
    <t>Mobility &amp; Remote Connectivity</t>
  </si>
  <si>
    <t>Remote &amp; wireless connectivity, Network issues</t>
  </si>
  <si>
    <t>Lost productivity due to dead laptop battery</t>
  </si>
  <si>
    <t>Laptop shut-down, start-up, wake/resume</t>
  </si>
  <si>
    <t>Time managing/accessing files for off-line use</t>
  </si>
  <si>
    <t>Security &amp; Privacy</t>
  </si>
  <si>
    <t xml:space="preserve">Security pre-cautions </t>
  </si>
  <si>
    <t>Virus, adware and other security issues</t>
  </si>
  <si>
    <t>Intrusion, unauthorized use, data loss</t>
  </si>
  <si>
    <t>System UI Navigation</t>
  </si>
  <si>
    <t>User Interface navigation</t>
  </si>
  <si>
    <t>Change system settings, preferences</t>
  </si>
  <si>
    <t>Availability &amp; Reliability</t>
  </si>
  <si>
    <t>Recovering from crashes/conflicts</t>
  </si>
  <si>
    <t>Rework due to lost work</t>
  </si>
  <si>
    <t>Total (Hours per Week)</t>
  </si>
  <si>
    <t>Summary of Productivity Improvements (Time Saved)</t>
  </si>
  <si>
    <t>The table below summarizes time saved by business activity category.</t>
  </si>
  <si>
    <t>Info Workers</t>
  </si>
  <si>
    <t>Task Workers</t>
  </si>
  <si>
    <t>Total (Weighted Average)</t>
  </si>
  <si>
    <t>Saved</t>
  </si>
  <si>
    <t>Time (Hours / Week)</t>
  </si>
  <si>
    <t>Business Value of Time Saved</t>
  </si>
  <si>
    <t>The table below calculates the value of time saved.  Annual value is calculated by multiplying the hours saved per year times fully burdened hourly rate.  The adjusted value is discounted by the "Productivity Conversion Factor".  The adjusted value is the productivity benefit value used elsewhere in the workbook.</t>
  </si>
  <si>
    <t>Productivity Conversion Factor* (0%-100%)</t>
  </si>
  <si>
    <t>*Not all saved time will necessarily be used to conduct other value-adding activities.  For example, if an employee completes assigned work more quickly and simply goes home earlier, no added business value will result.  However, organizations typically do find ways to convert most time saved into real business value (even without laying off employees).  For example:  avoid hiring as the organization grows; redistributing work; re-deploying employees; conducting other activities; or simply filling in the saved time with more work that wouldn't otherwise get done.  The "Productivity Conversion Factor" discounts the value of the time saved to account for inefficiencies/delays in converting the time saved into real business value.  Since estimating time savings cannot easily be done accurately, it is also used to provide more conservative $ values.  A 100% Productivity Converstion Factor applies no discount.</t>
  </si>
  <si>
    <t>Value per User per Year</t>
  </si>
  <si>
    <t>Weighted Avg</t>
  </si>
  <si>
    <t>*Total Adjusted</t>
  </si>
  <si>
    <t>Business Value of Productivity Benefits</t>
  </si>
  <si>
    <t>Annual Productivity Benefits (per User)</t>
  </si>
  <si>
    <t>Revenue Increase Enabled by the Solution</t>
  </si>
  <si>
    <t>This worksheet estimates incremental revenue enabled by the solution.  Not all projects will have credibly quantifiable revenue impacts.  Revenue impacts can be difficult to accurately assess.  Research, analysis, and supplemental modeling is likely needed to credibly estimate true revenue impacts.  One key is to target (at a detailed level) precisely what portion of revenue is likely to be impacted (the segment) and how the solution is enabling the revenue increase (the driver).  This model assumes the initiative will enable a one-time revenue increase (the same annual revenue benefit throughout the life of the solution).
Note that the benefit is the marginal profit on the incremental revenue, not the revenue itself.  We recommend using net operating profit, not gross margin:  in the long run, on average, fixed costs tend to increase at nearly the same rate as revenue growth.</t>
  </si>
  <si>
    <t>Segment Revenue</t>
  </si>
  <si>
    <t>Revenue Increase Driver %</t>
  </si>
  <si>
    <t>Addressed Segments (products, channels, geographies, business unit, and/or markets)</t>
  </si>
  <si>
    <t>Revenue (% of Total)</t>
  </si>
  <si>
    <t>Revenue (000)</t>
  </si>
  <si>
    <t>Profit Margin (% of Sales)</t>
  </si>
  <si>
    <t>Improved Sales Effectiveness</t>
  </si>
  <si>
    <t>Improved Marketing Effectiveness</t>
  </si>
  <si>
    <t>Improved Customer Service</t>
  </si>
  <si>
    <t>New/Expanded Channels/Geographies</t>
  </si>
  <si>
    <t>New/Enhanced Products/Services</t>
  </si>
  <si>
    <t>Improved Product Availability (fill rate, up-time)</t>
  </si>
  <si>
    <t>Annual Benefit (000)</t>
  </si>
  <si>
    <t>Segment A1</t>
  </si>
  <si>
    <t>Segment A2</t>
  </si>
  <si>
    <t>Segment A3</t>
  </si>
  <si>
    <t>Segment A4</t>
  </si>
  <si>
    <t>Segment B1</t>
  </si>
  <si>
    <t>Segment B2</t>
  </si>
  <si>
    <t>Segment B3</t>
  </si>
  <si>
    <t>Segment B4</t>
  </si>
  <si>
    <t>All Other (Not Impacted)</t>
  </si>
  <si>
    <t>The table and graph below summarize the annual revenue gain and margin on the revenue gain (the benefit).</t>
  </si>
  <si>
    <t>Margin (000)</t>
  </si>
  <si>
    <t>Benefit 
(per User)</t>
  </si>
  <si>
    <t>Revenue Growth (Margin)</t>
  </si>
  <si>
    <t>Annual Benefit per PC</t>
  </si>
  <si>
    <t>Total (Annual)</t>
  </si>
  <si>
    <t>Key Performance Indicator (KPI) Assessment (Optional)</t>
  </si>
  <si>
    <t xml:space="preserve">Not all benefits can credibly be translated into financial ($) benefit terms.  These are sometimes referred to as intangible benefits.  This worksheet provides a structure (one of many) to estimate how the initiative may impact non-financial KPIs.  
The percentiles shown are how the organization's KPI performance compares to others in the industry.  0% represents worst performance in the industry (laggard); 50% is average performance; 100% is best in the industry (world class performance).  For example, being at the 20th percentile implies that 80% of the other organizations in the industry perform better.  The "Improvement" indicates how much the organization is expected to improve KPI performance due to the solution.  The model assumes a linear relationship between KPI performance and industry percentile -- a simplifying assumption.
Select "Business Objectives" and KPIs that are important to your business and are expected to be significantly impacted by the solution.  Estimate "Laggard" and "World Class" KPI values in your industry.  Next determine what percentile your organization is currently performing at (the as-is KPI value is calculated).  Next determine to what percentile you expect the initiative will take you to.  The to-be KPI value (and % improvement) are calculated.  </t>
  </si>
  <si>
    <t>Industry KPI Values</t>
  </si>
  <si>
    <t>Organization Performance</t>
  </si>
  <si>
    <t xml:space="preserve"> Percentile</t>
  </si>
  <si>
    <t>KPI Value</t>
  </si>
  <si>
    <t>Business Objective</t>
  </si>
  <si>
    <t>KPI / Metric</t>
  </si>
  <si>
    <t>Late Adopter</t>
  </si>
  <si>
    <t>World Class</t>
  </si>
  <si>
    <t>Improve-ment %</t>
  </si>
  <si>
    <t>1=impr inc KPI</t>
  </si>
  <si>
    <t>Max %ile imprmt</t>
  </si>
  <si>
    <t>Enabled by Init</t>
  </si>
  <si>
    <t>Sales/Marketing Performance</t>
  </si>
  <si>
    <t>Customer Acquisition</t>
  </si>
  <si>
    <t>Close rate (% of qualified sales opportunities)</t>
  </si>
  <si>
    <t>Customer Retention</t>
  </si>
  <si>
    <t>Customer annual turnover (%)</t>
  </si>
  <si>
    <t>Customer Satisfaction</t>
  </si>
  <si>
    <t>% of customers that are highly satisfied when surveyed</t>
  </si>
  <si>
    <t>Sales-based document collaboration Efficiency</t>
  </si>
  <si>
    <t>Time to respond to RFP (days)</t>
  </si>
  <si>
    <t>Business Management Effectiveness</t>
  </si>
  <si>
    <t>Decision-Making Speed / Reaction Time to Market Event/Opportunity</t>
  </si>
  <si>
    <t>Days to accumulate information, analyze, collaborate, decide, plan (for information-intensive decisions)</t>
  </si>
  <si>
    <t>Business Visibility</t>
  </si>
  <si>
    <t>% of analytical data easily accessible to authorized decision-makers</t>
  </si>
  <si>
    <t>Business Alignment</t>
  </si>
  <si>
    <t>% of org. with auto-updated KPIs linked to corporate objectives</t>
  </si>
  <si>
    <t>Decision-Making Effectiveness</t>
  </si>
  <si>
    <t>Decision success rate %</t>
  </si>
  <si>
    <t>Information Availability</t>
  </si>
  <si>
    <t>% of desired information readily available</t>
  </si>
  <si>
    <t>Information Quality</t>
  </si>
  <si>
    <t>% of analytical data with single trusted access point</t>
  </si>
  <si>
    <t>Analysis/reporting Time</t>
  </si>
  <si>
    <t>Avg time (days) to complete financial reporting, planning, and forecasting activities</t>
  </si>
  <si>
    <t>Supply/Operations Performance</t>
  </si>
  <si>
    <t>Quality of Products/Services</t>
  </si>
  <si>
    <t>Customer preference vs. competitive products % (e.g. blind taste test)</t>
  </si>
  <si>
    <t>Defect rate</t>
  </si>
  <si>
    <t># of process/product/service defects/errors per 1000</t>
  </si>
  <si>
    <t>Forecast Accuracy</t>
  </si>
  <si>
    <t>Avg forecast error %</t>
  </si>
  <si>
    <t>Supply Chain Effectiveness</t>
  </si>
  <si>
    <t>On-time delivery</t>
  </si>
  <si>
    <t>Cash Cycle Time</t>
  </si>
  <si>
    <t>Days</t>
  </si>
  <si>
    <t>Compliance</t>
  </si>
  <si>
    <t>% of regulations and standards in full compliance</t>
  </si>
  <si>
    <t>Project management effectiveness</t>
  </si>
  <si>
    <t>% of document-intensive projects that complete on-time / on-budget</t>
  </si>
  <si>
    <t>Technology Effectiveness</t>
  </si>
  <si>
    <t>Records Compliance (centralized content control)</t>
  </si>
  <si>
    <t>% of electronic content (shared documents, reports, web content, email) that is controlled (retention, security, reuse, storage) centrally</t>
  </si>
  <si>
    <t>Service Level Agreement Performance</t>
  </si>
  <si>
    <t>SLA achievement %</t>
  </si>
  <si>
    <t>Maturity Level</t>
  </si>
  <si>
    <t>Best practice adoption %</t>
  </si>
  <si>
    <t>System response time</t>
  </si>
  <si>
    <t>Average system (local/LAN/WAN) response delay (Seconds)</t>
  </si>
  <si>
    <t>Application delivery agility</t>
  </si>
  <si>
    <t>Time (days) to deliver applications; time to start delivery</t>
  </si>
  <si>
    <t>User computing experience satisfaction</t>
  </si>
  <si>
    <t>% of users that are highly satisfied when surveyed</t>
  </si>
  <si>
    <t># of vulnerabilities (reduce attack surface)</t>
  </si>
  <si>
    <t>The category as-is, to-be, and improvement average percentiles are summarized below.  Note:  the improvement (Imp.) is not the KPI value % improvement, it shows the percentile point improvement.</t>
  </si>
  <si>
    <t>Imp.</t>
  </si>
  <si>
    <t>Average</t>
  </si>
  <si>
    <t>KPI Performance Comparison</t>
  </si>
  <si>
    <t>Performance Percentile</t>
  </si>
  <si>
    <t>high</t>
  </si>
  <si>
    <t>Low</t>
  </si>
  <si>
    <t>Graphical View of Performance</t>
  </si>
  <si>
    <t>Select the KPI (from the drop-down box) that you'd like to view in the graph below:</t>
  </si>
  <si>
    <t>Tech - Maturity Level</t>
  </si>
  <si>
    <t>Security Vulnerabilities</t>
  </si>
  <si>
    <t>For Scatter Graph</t>
  </si>
  <si>
    <t>KPIList Index</t>
  </si>
  <si>
    <t>KPI Index</t>
  </si>
  <si>
    <t xml:space="preserve">Relative KPI Performance:  </t>
  </si>
  <si>
    <t>Industry Percentile</t>
  </si>
  <si>
    <t xml:space="preserve">KPI:  </t>
  </si>
  <si>
    <t>Industry Performance</t>
  </si>
  <si>
    <t>x</t>
  </si>
  <si>
    <t>y</t>
  </si>
  <si>
    <t>KPI List</t>
  </si>
  <si>
    <t>Sales</t>
  </si>
  <si>
    <t>Mgmt</t>
  </si>
  <si>
    <t>Ops</t>
  </si>
  <si>
    <t>Tech</t>
  </si>
  <si>
    <t>This worksheet contains tables and charts that summarize the results of the tool.  It consolidates results from all of the other worksheets and analyzes the results (compares costs to benefits).  It includes:  a summary of the costs &amp; benefits by type; cash flow analysis; the impact to key performance indicators; and calculation of ROI, payback period, NPV, and IRR.</t>
  </si>
  <si>
    <t>Summary of Results</t>
  </si>
  <si>
    <t>The tables and graphs below summarize the project costs and benefits and calculate ROI, NPV, IRR, and payback period.  The results are shown "per user" average and the total for the organization.</t>
  </si>
  <si>
    <t>Per User</t>
  </si>
  <si>
    <t>Organization Total (000)</t>
  </si>
  <si>
    <t>Benefits</t>
  </si>
  <si>
    <t>Total Costs Vs Benefits
(per User)</t>
  </si>
  <si>
    <t>Net Benefits</t>
  </si>
  <si>
    <t>Costs &amp; Benefits (per User)</t>
  </si>
  <si>
    <t>NPV (Net Present Value)</t>
  </si>
  <si>
    <t>IRR (Internal Rate of Return)</t>
  </si>
  <si>
    <t>Payback Period (Months)**</t>
  </si>
  <si>
    <t>For Cost/Benefit chart on Profile</t>
  </si>
  <si>
    <t>Number of Users</t>
  </si>
  <si>
    <t>*Return on Investment - [Net Benefits / Total Costs]</t>
  </si>
  <si>
    <t>**From when benefits start to accrue</t>
  </si>
  <si>
    <t>Date</t>
  </si>
  <si>
    <t>Costs &amp; Benefits (per PC)</t>
  </si>
  <si>
    <t>Costs &amp; Benefits (000)</t>
  </si>
  <si>
    <t>One-Time</t>
  </si>
  <si>
    <t>Annual Recurring</t>
  </si>
  <si>
    <t>Left</t>
  </si>
  <si>
    <t>Initiative Cost Summary
  (per User)</t>
  </si>
  <si>
    <t>Initiative Benefit Summary
  (per User)</t>
  </si>
  <si>
    <t>Costs (per User)</t>
  </si>
  <si>
    <t>Benefits (per User)</t>
  </si>
  <si>
    <t>Time Period</t>
  </si>
  <si>
    <t>Year</t>
  </si>
  <si>
    <t>Below is key information about the organization.</t>
  </si>
  <si>
    <t>Industry</t>
  </si>
  <si>
    <t>Location</t>
  </si>
  <si>
    <t>Below is key information about the solution being assessed</t>
  </si>
  <si>
    <t>Cost Summary</t>
  </si>
  <si>
    <t>Below are the initial design/development/deployment and added annual on-going costs required to fully deploy, adopt and support the initiative.  Additional details can be found below and on the "Cost" worksheet.</t>
  </si>
  <si>
    <t>Costs (000)</t>
  </si>
  <si>
    <t>Benefits Summary</t>
  </si>
  <si>
    <t>Below are the benefits enabled by the initiative.  The detailed calculations are below and on the green benefit tabs.</t>
  </si>
  <si>
    <t>Benefits (000)</t>
  </si>
  <si>
    <t>Benefit Summary</t>
  </si>
  <si>
    <t>Benefit Sub-Categories</t>
  </si>
  <si>
    <t>Cash Flow</t>
  </si>
  <si>
    <t>Shown below are the costs and benefits by year, the net benefits (benefits-costs), and the cumulative cash flow.  This is used to calculate payback period, IRR, and NPV.</t>
  </si>
  <si>
    <t>Summary Statistics</t>
  </si>
  <si>
    <t>Start Date</t>
  </si>
  <si>
    <t>End Date</t>
  </si>
  <si>
    <t>Deployment Duration (Months)</t>
  </si>
  <si>
    <t>Project Duration (Years) - not including deployment</t>
  </si>
  <si>
    <t>Payback Date</t>
  </si>
  <si>
    <t>Payback Period (from start of benefits)</t>
  </si>
  <si>
    <t>Payback Period (from start of deployment)</t>
  </si>
  <si>
    <t>Growth Rate (of costs and benefits)</t>
  </si>
  <si>
    <t>CF</t>
  </si>
  <si>
    <t>Cumulative</t>
  </si>
  <si>
    <t xml:space="preserve">Cash Flow (per User)
</t>
  </si>
  <si>
    <t>Cumulative Cash Flow (per User)</t>
  </si>
  <si>
    <t>Deploy Start</t>
  </si>
  <si>
    <t>Benefits Start</t>
  </si>
  <si>
    <t>Payback</t>
  </si>
  <si>
    <t>Cash Flow by Year</t>
  </si>
  <si>
    <t>One-time Benefits</t>
  </si>
  <si>
    <t>On-going Benefits Ramp-Up</t>
  </si>
  <si>
    <t>On-Going Benefits</t>
  </si>
  <si>
    <t>Total Benefits</t>
  </si>
  <si>
    <t>Cumulative Cash Flow</t>
  </si>
  <si>
    <t>Neg Cash Flow</t>
  </si>
  <si>
    <t>Pos Cash Flow</t>
  </si>
  <si>
    <t>Deploy</t>
  </si>
  <si>
    <t>NPV technically not correct (timing of deployment period could be off)</t>
  </si>
  <si>
    <t>Cost Details</t>
  </si>
  <si>
    <t>The table/chart below provide additional cost details.</t>
  </si>
  <si>
    <t>Cost / Benefit Category</t>
  </si>
  <si>
    <t>Project Total to Annual Recurring Multiplier</t>
  </si>
  <si>
    <t>Annual</t>
  </si>
  <si>
    <t>Ratio</t>
  </si>
  <si>
    <t>ProjectTtlMultCosts</t>
  </si>
  <si>
    <t>ProjectTtlMultBen</t>
  </si>
  <si>
    <t>TCO (Total Cost of Ownership) analysis of the IT environment is shown below.  It includes an assessment of hardware, software, internal IT personnel, external IT Services, and telecommunications and networking operating costs.  It includes both current (as-is) as well as projected (to-be) TCO after the initiative has been implemented.  The TCO savings is the difference between the as-is TCO and the to-be TCO.  The to-be TCO does not include incremental costs resulting from the initiative -- these are included in "Costs".</t>
  </si>
  <si>
    <t>Key IT Spending Statistics</t>
  </si>
  <si>
    <t>Benefit Details</t>
  </si>
  <si>
    <t>The tables/charts below provide additional details regarding each of the four quantified benefit types.</t>
  </si>
  <si>
    <t>IT Spending/TCO Savings</t>
  </si>
  <si>
    <t>Other Direct Cost Savings</t>
  </si>
  <si>
    <t>Revenue Growth</t>
  </si>
  <si>
    <t>KPI Assessment</t>
  </si>
  <si>
    <t>The table/chart below provides a summary of the 4 categories of non-financial KPIs.  There are 4 to 10 specific KPIs in each category.  The percentiles shown are how the organization compares to others in the industry.  0% represents worst performance in the industry (laggard); 50% is average performance; 100% is best in the industry (world class performance).  The "Improvement" indicates how much the organization is expected to improve KPI performance due to the solution.  Additional details can be found in the "KPIs" worksheet.</t>
  </si>
  <si>
    <t>Improve-ment</t>
  </si>
  <si>
    <t>Data Lookup Tables - For Reference Only (hidden tab)</t>
  </si>
  <si>
    <t>Specific company found?</t>
  </si>
  <si>
    <t>Co Fin'ls</t>
  </si>
  <si>
    <t>Base</t>
  </si>
  <si>
    <t>Industry / Scalar</t>
  </si>
  <si>
    <t>Location / Scalar</t>
  </si>
  <si>
    <t>If No Good Co Info Avail</t>
  </si>
  <si>
    <t>Defaults</t>
  </si>
  <si>
    <t>CoNameDefault</t>
  </si>
  <si>
    <t>CompanyName</t>
  </si>
  <si>
    <t>TickerSymbolDefault</t>
  </si>
  <si>
    <t>IndustryDefault</t>
  </si>
  <si>
    <t>Average or combination</t>
  </si>
  <si>
    <t>CountryDefault</t>
  </si>
  <si>
    <t>????</t>
  </si>
  <si>
    <t>EmployeesDefault</t>
  </si>
  <si>
    <t>=IF(H11=1,Revenue*1000000/G14,IF(H12+H13&gt;0,PCs/E13/E12,G10))</t>
  </si>
  <si>
    <t>RevenueDefault</t>
  </si>
  <si>
    <t>PCUsersDefault</t>
  </si>
  <si>
    <t>PCUser % of Emp</t>
  </si>
  <si>
    <t>PCsDefault</t>
  </si>
  <si>
    <t>PCs per PCUser</t>
  </si>
  <si>
    <t>RevPerEmployee</t>
  </si>
  <si>
    <t>Servers (or server equivalent)</t>
  </si>
  <si>
    <t>Min to Use</t>
  </si>
  <si>
    <t>Use Co Fins?</t>
  </si>
  <si>
    <t>OpProfitDefault (pre-tax)</t>
  </si>
  <si>
    <t>No</t>
  </si>
  <si>
    <t>NetMarginDefault</t>
  </si>
  <si>
    <t>TaxRate-EffDefault</t>
  </si>
  <si>
    <t>TaxRate-MarginalDefault</t>
  </si>
  <si>
    <t>GrowthRateDefault</t>
  </si>
  <si>
    <t>WACCDefault</t>
  </si>
  <si>
    <t>IT TCO / Spending</t>
  </si>
  <si>
    <t>1 Employees</t>
  </si>
  <si>
    <t>2 Revenue</t>
  </si>
  <si>
    <t>3 PCUsers</t>
  </si>
  <si>
    <t>4 PCs</t>
  </si>
  <si>
    <t>Default Value</t>
  </si>
  <si>
    <t>Current Value</t>
  </si>
  <si>
    <t>Modified?</t>
  </si>
  <si>
    <t>Change caused by this UDF</t>
  </si>
  <si>
    <t>Change caused by a UDF?</t>
  </si>
  <si>
    <t>change made by user</t>
  </si>
  <si>
    <t>Precedents</t>
  </si>
  <si>
    <t>no</t>
  </si>
  <si>
    <t>Tests</t>
  </si>
  <si>
    <r>
      <t>2,3</t>
    </r>
    <r>
      <rPr>
        <b/>
        <sz val="10"/>
        <rFont val="Arial"/>
        <family val="2"/>
      </rPr>
      <t>4</t>
    </r>
  </si>
  <si>
    <t>none</t>
  </si>
  <si>
    <t>Other cells changed</t>
  </si>
  <si>
    <t>change this formula (if other cells changed and user didn't change it)</t>
  </si>
  <si>
    <t>change it to this formula (index)</t>
  </si>
  <si>
    <t>UDF (target, source, flag)</t>
  </si>
  <si>
    <t>=IF(C37=0,"No Change",changeothercell(_m953,INDEX(C32:C35,C38)))</t>
  </si>
  <si>
    <t>=IF(D36=0,"No Change",changeothercell(D39,INDEX(D32:D35,D37)))</t>
  </si>
  <si>
    <t>=IF(E36=0,"No Change",changeothercell(E39,INDEX(E32:E35,E37)))</t>
  </si>
  <si>
    <t>ExchangeRate</t>
  </si>
  <si>
    <t>Ind Base</t>
  </si>
  <si>
    <t>Region Scalar</t>
  </si>
  <si>
    <t>Default</t>
  </si>
  <si>
    <t>IT Spend (000)</t>
  </si>
  <si>
    <t>Weighting</t>
  </si>
  <si>
    <t>IT Spend per Employee</t>
  </si>
  <si>
    <t>Scalar</t>
  </si>
  <si>
    <t>IT Spend % of Rev</t>
  </si>
  <si>
    <t>Adder</t>
  </si>
  <si>
    <t>IT Spend % of Operating Expense</t>
  </si>
  <si>
    <t>Default IT Spending (000)</t>
  </si>
  <si>
    <t>Manual Multiplier %</t>
  </si>
  <si>
    <t>Maturity-Level Scalar</t>
  </si>
  <si>
    <t>Final TCO</t>
  </si>
  <si>
    <t>IT Personnel</t>
  </si>
  <si>
    <t>Weighted Average IT staff Cost:</t>
  </si>
  <si>
    <t>IT Personnel Salaries, Benefits and Occupancy as a Percent of IT Spending</t>
  </si>
  <si>
    <t>IT Employees as % Company Employees</t>
  </si>
  <si>
    <t>Discount %</t>
  </si>
  <si>
    <t>IT Staff Default</t>
  </si>
  <si>
    <t>IT Spending and Staffing</t>
  </si>
  <si>
    <t>Adders</t>
  </si>
  <si>
    <t>Labor Cost Scalars</t>
  </si>
  <si>
    <t>IT Labor relative cost scalar</t>
  </si>
  <si>
    <t>% of Employees in Support Function</t>
  </si>
  <si>
    <t>IT Spending Distribution by Industry</t>
  </si>
  <si>
    <t>HCR Industry</t>
  </si>
  <si>
    <t>Code</t>
  </si>
  <si>
    <t>All</t>
  </si>
  <si>
    <t>PC User</t>
  </si>
  <si>
    <t>IW</t>
  </si>
  <si>
    <t>Power Users</t>
  </si>
  <si>
    <t>HR</t>
  </si>
  <si>
    <t>Finance</t>
  </si>
  <si>
    <t>IT</t>
  </si>
  <si>
    <t>Sales &amp; Marketing</t>
  </si>
  <si>
    <t>Net Income</t>
  </si>
  <si>
    <t>Pre-tax Opg Margin on Added Revenue</t>
  </si>
  <si>
    <t>Revenue per Employee</t>
  </si>
  <si>
    <t>NAIC Name</t>
  </si>
  <si>
    <t>IT % of PC Users</t>
  </si>
  <si>
    <t>WACC</t>
  </si>
  <si>
    <t>Expected Ann'l Growth in Rev: next 5 years</t>
  </si>
  <si>
    <t>IT Spending per Employee (incl Telecom)</t>
  </si>
  <si>
    <t>IT Spending % of Revenue (incl Telecom)</t>
  </si>
  <si>
    <t>IT Spending % of Op Exp (incl Telecom)</t>
  </si>
  <si>
    <t>IT Employees as % of Total Employees</t>
  </si>
  <si>
    <t>IT Staff Costs as % of IT Spend</t>
  </si>
  <si>
    <t>Internal IT Personnel</t>
  </si>
  <si>
    <t>Average or Combination</t>
  </si>
  <si>
    <t>co</t>
  </si>
  <si>
    <t>Finance - Banking</t>
  </si>
  <si>
    <t>fb</t>
  </si>
  <si>
    <t>Finance - Insurance</t>
  </si>
  <si>
    <t>fi</t>
  </si>
  <si>
    <t>Finance - Securities/investment</t>
  </si>
  <si>
    <t>fs</t>
  </si>
  <si>
    <t>Manufacturing - Aerospace &amp; defense</t>
  </si>
  <si>
    <t>md</t>
  </si>
  <si>
    <t>Manufacturing - Automotive</t>
  </si>
  <si>
    <t>ma</t>
  </si>
  <si>
    <t>Manufacturing - Chemicals</t>
  </si>
  <si>
    <t>mch</t>
  </si>
  <si>
    <t>Manufacturing - Construction</t>
  </si>
  <si>
    <t>mc</t>
  </si>
  <si>
    <t>Manufacturing - Consumer products</t>
  </si>
  <si>
    <t>mcp</t>
  </si>
  <si>
    <t>Manufacturing - Electrical equipment</t>
  </si>
  <si>
    <t>mee</t>
  </si>
  <si>
    <t>Manufacturing - Electronics</t>
  </si>
  <si>
    <t>me</t>
  </si>
  <si>
    <t>Manufacturing - Food &amp; beverage</t>
  </si>
  <si>
    <t>mf</t>
  </si>
  <si>
    <t>Manufacturing - Heavy industry</t>
  </si>
  <si>
    <t>mh</t>
  </si>
  <si>
    <t>Manufacturing - Pharmaceuticals &amp; medical products</t>
  </si>
  <si>
    <t>mp</t>
  </si>
  <si>
    <t>Public - Education</t>
  </si>
  <si>
    <t>pe</t>
  </si>
  <si>
    <t>Public - Government</t>
  </si>
  <si>
    <t>pg</t>
  </si>
  <si>
    <t>Resources - Energy</t>
  </si>
  <si>
    <t>re</t>
  </si>
  <si>
    <t>Resources - Materials &amp; other natural resources</t>
  </si>
  <si>
    <t>rm</t>
  </si>
  <si>
    <t>Resources - Utilities</t>
  </si>
  <si>
    <t>ru</t>
  </si>
  <si>
    <t>Retail - General retailers</t>
  </si>
  <si>
    <t>rr</t>
  </si>
  <si>
    <t>Retail - Grocery</t>
  </si>
  <si>
    <t>rg</t>
  </si>
  <si>
    <t>Retail - Restaurants and hospitality</t>
  </si>
  <si>
    <t>rh</t>
  </si>
  <si>
    <t>Retail - Specialty retailers</t>
  </si>
  <si>
    <t>rs</t>
  </si>
  <si>
    <t>Services - Business &amp; consumer (non-IT)</t>
  </si>
  <si>
    <t>sb</t>
  </si>
  <si>
    <t>Services - Healthcare providers</t>
  </si>
  <si>
    <t>sh</t>
  </si>
  <si>
    <t>Services - IT services &amp; software</t>
  </si>
  <si>
    <t>si</t>
  </si>
  <si>
    <t>Services - Media &amp; entertainment</t>
  </si>
  <si>
    <t>sm</t>
  </si>
  <si>
    <t>Services - Telecommunications</t>
  </si>
  <si>
    <t>st</t>
  </si>
  <si>
    <t>Transportation - Air transport</t>
  </si>
  <si>
    <t>ta</t>
  </si>
  <si>
    <t>Transportation - Truck, water, rail, pipelines</t>
  </si>
  <si>
    <t>tt</t>
  </si>
  <si>
    <t>As % of PC Users</t>
  </si>
  <si>
    <t>Source: Based on analysis of data from U.S. Department of Labor, Bureau of Labor Statistics</t>
  </si>
  <si>
    <t>Adj for Ex Rate</t>
  </si>
  <si>
    <t>Region Adder</t>
  </si>
  <si>
    <t>Without Staff</t>
  </si>
  <si>
    <t>Location Cost Scalars</t>
  </si>
  <si>
    <t>Region</t>
  </si>
  <si>
    <t>IT Spending as a Percent of Revenue</t>
  </si>
  <si>
    <t>IT Spending as a Percent of Operating Expense</t>
  </si>
  <si>
    <t>Internal Services</t>
  </si>
  <si>
    <t>Telecommunications</t>
  </si>
  <si>
    <t>Global</t>
  </si>
  <si>
    <t>APac</t>
  </si>
  <si>
    <t>Japan</t>
  </si>
  <si>
    <t>E Eur</t>
  </si>
  <si>
    <t>LatAm</t>
  </si>
  <si>
    <t>MEA</t>
  </si>
  <si>
    <t>Canada</t>
  </si>
  <si>
    <t>US</t>
  </si>
  <si>
    <t>W Eur</t>
  </si>
  <si>
    <t>UK</t>
  </si>
  <si>
    <t>Index</t>
  </si>
  <si>
    <t>Country</t>
  </si>
  <si>
    <t>HCR Country</t>
  </si>
  <si>
    <t>Marginal Tax Rates</t>
  </si>
  <si>
    <t>Revenue per Employee Scalar</t>
  </si>
  <si>
    <t>All Employees</t>
  </si>
  <si>
    <t>PC Users</t>
  </si>
  <si>
    <t>Information Workers</t>
  </si>
  <si>
    <t>IT Workers</t>
  </si>
  <si>
    <t>Work Hours per Year</t>
  </si>
  <si>
    <t>Relative Prices</t>
  </si>
  <si>
    <t>GLOBAL AVERAGE / MIX</t>
  </si>
  <si>
    <t>ASIA/PACIFIC Average</t>
  </si>
  <si>
    <t>ASIA/PACIFIC - Australia</t>
  </si>
  <si>
    <t>Australia</t>
  </si>
  <si>
    <t>ASIA/PACIFIC - Bangladesh</t>
  </si>
  <si>
    <t>Bangladesh</t>
  </si>
  <si>
    <t>ASIA/PACIFIC - China</t>
  </si>
  <si>
    <t>China</t>
  </si>
  <si>
    <t>ASIA/PACIFIC - Hong Kong</t>
  </si>
  <si>
    <t>Hong Kong</t>
  </si>
  <si>
    <t>ASIA/PACIFIC - India</t>
  </si>
  <si>
    <t>India</t>
  </si>
  <si>
    <t>ASIA/PACIFIC - Indonesia</t>
  </si>
  <si>
    <t>Indonesia</t>
  </si>
  <si>
    <t>ASIA/PACIFIC - Japan</t>
  </si>
  <si>
    <t>ASIA/PACIFIC - Malaysia</t>
  </si>
  <si>
    <t>Malaysia</t>
  </si>
  <si>
    <t>ASIA/PACIFIC - New Zealand</t>
  </si>
  <si>
    <t>New Zealand</t>
  </si>
  <si>
    <t>ASIA/PACIFIC - Pakistan</t>
  </si>
  <si>
    <t>Pakistan</t>
  </si>
  <si>
    <t>ASIA/PACIFIC - Philippines</t>
  </si>
  <si>
    <t>Philippines</t>
  </si>
  <si>
    <t>ASIA/PACIFIC - Singapore</t>
  </si>
  <si>
    <t>Singapore</t>
  </si>
  <si>
    <t>ASIA/PACIFIC - South Korea</t>
  </si>
  <si>
    <t>South Korea</t>
  </si>
  <si>
    <t>ASIA/PACIFIC - Sri Lanka</t>
  </si>
  <si>
    <t>Sri Lanka</t>
  </si>
  <si>
    <t>ASIA/PACIFIC - Taiwan</t>
  </si>
  <si>
    <t>Taiwan</t>
  </si>
  <si>
    <t>ASIA/PACIFIC - Thailand</t>
  </si>
  <si>
    <t>Thailand</t>
  </si>
  <si>
    <t>ASIA/PACIFIC - Vietnam</t>
  </si>
  <si>
    <t>Vietnam</t>
  </si>
  <si>
    <t>EASTERN EUROPE</t>
  </si>
  <si>
    <t>EASTERN EUROPE - Poland</t>
  </si>
  <si>
    <t>Poland</t>
  </si>
  <si>
    <t>EASTERN EUROPE - Russia</t>
  </si>
  <si>
    <t>Russia</t>
  </si>
  <si>
    <t>EASTERN EUROPE - Turkey</t>
  </si>
  <si>
    <t>Turkey</t>
  </si>
  <si>
    <t>LATIN AMERICA</t>
  </si>
  <si>
    <t>LATIN AMERICA - Brazil</t>
  </si>
  <si>
    <t>Brazil</t>
  </si>
  <si>
    <t>LATIN AMERICA - Chile</t>
  </si>
  <si>
    <t>Chile</t>
  </si>
  <si>
    <t>LATIN AMERICA - Mexico</t>
  </si>
  <si>
    <t>Mexico</t>
  </si>
  <si>
    <t>MID EAST &amp; AFRICA</t>
  </si>
  <si>
    <t>MID EAST &amp; AFRICA - Egypt</t>
  </si>
  <si>
    <t>Egypt</t>
  </si>
  <si>
    <t>MID EAST &amp; AFRICA - Israel</t>
  </si>
  <si>
    <t>Israel</t>
  </si>
  <si>
    <t>MID EAST &amp; AFRICA - Jordan</t>
  </si>
  <si>
    <t>Jordan</t>
  </si>
  <si>
    <t>MID EAST &amp; AFRICA - Kuwait</t>
  </si>
  <si>
    <t>Kuwait</t>
  </si>
  <si>
    <t>MID EAST &amp; AFRICA - Nigeria</t>
  </si>
  <si>
    <t>Nigeria</t>
  </si>
  <si>
    <t>MID EAST &amp; AFRICA - Saudi Arabia</t>
  </si>
  <si>
    <t>Saudi Arabia</t>
  </si>
  <si>
    <t>MID EAST &amp; AFRICA - South Africa</t>
  </si>
  <si>
    <t>South Africa</t>
  </si>
  <si>
    <t>NORTH AMERICA - Canada</t>
  </si>
  <si>
    <t>NORTH AMERICA - United States</t>
  </si>
  <si>
    <t>WESTERN EUROPE</t>
  </si>
  <si>
    <t>WESTERN EUROPE - Belgium</t>
  </si>
  <si>
    <t>Belgium</t>
  </si>
  <si>
    <t>WESTERN EUROPE - Denmark</t>
  </si>
  <si>
    <t>Denmark</t>
  </si>
  <si>
    <t>WESTERN EUROPE - Finland</t>
  </si>
  <si>
    <t>Finland</t>
  </si>
  <si>
    <t>WESTERN EUROPE - France</t>
  </si>
  <si>
    <t>France</t>
  </si>
  <si>
    <t>WESTERN EUROPE - Germany</t>
  </si>
  <si>
    <t>Germany</t>
  </si>
  <si>
    <t>WESTERN EUROPE - Greece</t>
  </si>
  <si>
    <t>Greece</t>
  </si>
  <si>
    <t>WESTERN EUROPE - Italy</t>
  </si>
  <si>
    <t>Italy</t>
  </si>
  <si>
    <t>WESTERN EUROPE - Netherlands</t>
  </si>
  <si>
    <t>Netherlands</t>
  </si>
  <si>
    <t>WESTERN EUROPE - Norway</t>
  </si>
  <si>
    <t>Norway</t>
  </si>
  <si>
    <t>WESTERN EUROPE - Spain</t>
  </si>
  <si>
    <t>Spain</t>
  </si>
  <si>
    <t>WESTERN EUROPE - Sweden</t>
  </si>
  <si>
    <t>Sweden</t>
  </si>
  <si>
    <t>WESTERN EUROPE - Switzerland</t>
  </si>
  <si>
    <t>Switzerland</t>
  </si>
  <si>
    <t>WESTERN EUROPE - United Kingdom</t>
  </si>
  <si>
    <t>Source: KPMG</t>
  </si>
  <si>
    <t>Squisher:</t>
  </si>
  <si>
    <t>Max:</t>
  </si>
  <si>
    <t>Source:  Based on analysis of data from U.S. Department of Labor, Bureau of Labor Statistics; The World Bank, World Development Indicators Database; and Organisation for Economic Co-operation and Development</t>
  </si>
  <si>
    <t>Country Base</t>
  </si>
  <si>
    <t>Industry Scalar</t>
  </si>
  <si>
    <t>Location Labor Scalar</t>
  </si>
  <si>
    <t>Company Size Scalar</t>
  </si>
  <si>
    <t>Exchange Rate</t>
  </si>
  <si>
    <t>Default To Use</t>
  </si>
  <si>
    <t>Burden Rate Default</t>
  </si>
  <si>
    <t>Work Hours Default</t>
  </si>
  <si>
    <t>Labor Cost (US)</t>
  </si>
  <si>
    <t>Avg US Labor Cost</t>
  </si>
  <si>
    <t>Site Location Labor Scalar</t>
  </si>
  <si>
    <t>Total Scalar</t>
  </si>
  <si>
    <t>IT Labor Costs</t>
  </si>
  <si>
    <t>Average / Base</t>
  </si>
  <si>
    <t>Adjusted for Exchange Rate</t>
  </si>
  <si>
    <t>Country Scalar</t>
  </si>
  <si>
    <t>Other Scalar</t>
  </si>
  <si>
    <t>All Workers</t>
  </si>
  <si>
    <t>PC Power Users</t>
  </si>
  <si>
    <t>Key Decision-Makers / Managers</t>
  </si>
  <si>
    <t>Base / Scaler</t>
  </si>
  <si>
    <t>CompDefAppDev</t>
  </si>
  <si>
    <t>CompDef</t>
  </si>
  <si>
    <t>AppSupp</t>
  </si>
  <si>
    <t>DataCtr</t>
  </si>
  <si>
    <t>Desktop</t>
  </si>
  <si>
    <t>HelpDesk</t>
  </si>
  <si>
    <t>VoiceNet</t>
  </si>
  <si>
    <t>DataNet</t>
  </si>
  <si>
    <t>Source: Based on analysis of data from salary surveys from InformationWeek, ComputerWorld, and InfoWorld</t>
  </si>
  <si>
    <t>Primary Site Location</t>
  </si>
  <si>
    <t>Labor Cost Scalar</t>
  </si>
  <si>
    <t>Metropolis</t>
  </si>
  <si>
    <t>Urban</t>
  </si>
  <si>
    <t>Rural</t>
  </si>
  <si>
    <t>Selected</t>
  </si>
  <si>
    <t>Company Size Labor Cost Scalar</t>
  </si>
  <si>
    <t>Min Employees</t>
  </si>
  <si>
    <t>Small</t>
  </si>
  <si>
    <t>not used</t>
  </si>
  <si>
    <t>Medium</t>
  </si>
  <si>
    <t>Large</t>
  </si>
  <si>
    <t>Enterprise</t>
  </si>
  <si>
    <t>Source: Based on analysis of data from ComputerWorld 2006 Salary Survey</t>
  </si>
  <si>
    <t>Project Scale</t>
  </si>
  <si>
    <t>License Type: 1=Select, 2=EA</t>
  </si>
  <si>
    <t>Project Scale List</t>
  </si>
  <si>
    <t>Cost &amp; Benefit Multiplier</t>
  </si>
  <si>
    <t>Moderate/typical</t>
  </si>
  <si>
    <t>Major (e.g. transformational)</t>
  </si>
  <si>
    <t>ProjectScaleScalar</t>
  </si>
  <si>
    <t>AssessmentPurposeList</t>
  </si>
  <si>
    <t>Training / educational</t>
  </si>
  <si>
    <t>Proposal or business case for a customer/prospect</t>
  </si>
  <si>
    <t>Internal project business case</t>
  </si>
  <si>
    <t>Post-project review - assess actual expenses incurred and perceived benefits after project deployment</t>
  </si>
  <si>
    <t>Strategic (e.g. input to a project portfolio analysis)</t>
  </si>
  <si>
    <t>Other - please explain in comments</t>
  </si>
  <si>
    <t>AssessmentAccuracyList</t>
  </si>
  <si>
    <t>Preliminary - rapid assessment to estimate ballpark costs/benefits</t>
  </si>
  <si>
    <t>Moderate - many key inputs/results are believed to be reasonably accurate</t>
  </si>
  <si>
    <t>High - data &amp; results carefully reviewed and believed to be reasonable (reflect actual costs/benefits)</t>
  </si>
  <si>
    <t>Maturity Level List &amp; Scalars (TCO &amp; KPI)</t>
  </si>
  <si>
    <t>TCO Scalars</t>
  </si>
  <si>
    <t>MaturityLevelList</t>
  </si>
  <si>
    <t>As-Is KPI Percentile</t>
  </si>
  <si>
    <t>1. Initial - Capabilities adopted are basic and ad hoc</t>
  </si>
  <si>
    <t>Initial</t>
  </si>
  <si>
    <t>Basic</t>
  </si>
  <si>
    <t>3. Intermediate - Typical adoption of capabilities and best practices</t>
  </si>
  <si>
    <t>Intermediate</t>
  </si>
  <si>
    <t>4. Advanced - Effective adoption of most needed capabilities and best practices</t>
  </si>
  <si>
    <t>Advanced</t>
  </si>
  <si>
    <t>5. Optimizing - World class capabilies and comprehensive adoption</t>
  </si>
  <si>
    <t>Optimizing</t>
  </si>
  <si>
    <t>Level</t>
  </si>
  <si>
    <t>TCO Scalar</t>
  </si>
  <si>
    <t>Used</t>
  </si>
  <si>
    <t>Cash Flow (for the Cumulative Cash Flow Chart)</t>
  </si>
  <si>
    <t>Cost Bottom</t>
  </si>
  <si>
    <t>Neg Cumulative Cash</t>
  </si>
  <si>
    <t>Pos Cumulative Cash</t>
  </si>
  <si>
    <t>Deployment</t>
  </si>
  <si>
    <t>Project Start</t>
  </si>
  <si>
    <t>Graph Start</t>
  </si>
  <si>
    <t>Initiative Type Benefit Map (Hidden Tab)</t>
  </si>
  <si>
    <t>Initiative Index:</t>
  </si>
  <si>
    <t>Multiplier</t>
  </si>
  <si>
    <t>5s</t>
  </si>
  <si>
    <t>10s</t>
  </si>
  <si>
    <t>Implementation</t>
  </si>
  <si>
    <t>Default Years of Analysis</t>
  </si>
  <si>
    <t>Implementation Time (months)</t>
  </si>
  <si>
    <t>Initiative Costs</t>
  </si>
  <si>
    <t>Server Hardware</t>
  </si>
  <si>
    <t>Initiative Benefits</t>
  </si>
  <si>
    <t>IT Labor/Services TCO Savings</t>
  </si>
  <si>
    <t>Application Support</t>
  </si>
  <si>
    <t>Data Center</t>
  </si>
  <si>
    <t>Help Desk (Tech Support)</t>
  </si>
  <si>
    <t>Administration &amp; Other</t>
  </si>
  <si>
    <t>Total Other Direct Cost Savings</t>
  </si>
  <si>
    <t>Total User Productivity Benefits</t>
  </si>
  <si>
    <t>Non-Financial Key Performance Indicators</t>
  </si>
  <si>
    <t>ScenarioTesting</t>
  </si>
  <si>
    <t>Range Name</t>
  </si>
  <si>
    <t>Default Formula</t>
  </si>
  <si>
    <t>Manual Paste</t>
  </si>
  <si>
    <t>Inputs</t>
  </si>
  <si>
    <t>r_ScenTestCurrInputValue</t>
  </si>
  <si>
    <t>r_ScenTestDefaultFormula</t>
  </si>
  <si>
    <t>r_ScenTestInputs</t>
  </si>
  <si>
    <t>ProjectType</t>
  </si>
  <si>
    <t>ProjectScaleSelected</t>
  </si>
  <si>
    <t>Employees</t>
  </si>
  <si>
    <t>Global Average/Mix</t>
  </si>
  <si>
    <t>Company Or Ticker Input</t>
  </si>
  <si>
    <t>CoOrTickerInput</t>
  </si>
  <si>
    <t>Last input - leave empty</t>
  </si>
  <si>
    <t>Outputs</t>
  </si>
  <si>
    <t>r_ScenTestOutputsCurrent</t>
  </si>
  <si>
    <t>Initiative Costs (project total)</t>
  </si>
  <si>
    <t>Median</t>
  </si>
  <si>
    <t>Initiative Benefits (project total)</t>
  </si>
  <si>
    <t>TCO Savings</t>
  </si>
  <si>
    <t>TCO per User</t>
  </si>
  <si>
    <t>IT spending</t>
  </si>
  <si>
    <t>TCO savings %</t>
  </si>
  <si>
    <t>Initiative Benefits (annual)</t>
  </si>
  <si>
    <t>Total (above)</t>
  </si>
  <si>
    <t>Project Total (above)</t>
  </si>
  <si>
    <t>KPIs - as-is Value</t>
  </si>
  <si>
    <t>KPIs - Improvement</t>
  </si>
  <si>
    <t>Last output - leave empty</t>
  </si>
  <si>
    <t>Target ROI</t>
  </si>
  <si>
    <t>Report Content and Charts</t>
  </si>
  <si>
    <t>Currency is changed on this sheet (and all visible sheets)</t>
  </si>
  <si>
    <t>Report Content</t>
  </si>
  <si>
    <t>TitleSlide</t>
  </si>
  <si>
    <t>Type</t>
  </si>
  <si>
    <t>Cell</t>
  </si>
  <si>
    <t>Sheet</t>
  </si>
  <si>
    <t>Rpt Content</t>
  </si>
  <si>
    <t>RangeName</t>
  </si>
  <si>
    <t>CashFlowBullets</t>
  </si>
  <si>
    <t>Paste this code</t>
  </si>
  <si>
    <t>Note: can't use "GetText()" UDF (won't work in ewa).</t>
  </si>
  <si>
    <t>Indents</t>
  </si>
  <si>
    <t>Source - Link</t>
  </si>
  <si>
    <t>Value</t>
  </si>
  <si>
    <t>Return (not after last)</t>
  </si>
  <si>
    <t>Bullet Line Total</t>
  </si>
  <si>
    <t>&gt;</t>
  </si>
  <si>
    <t>Named Range:</t>
  </si>
  <si>
    <t>rpt_CashFlowBullets</t>
  </si>
  <si>
    <t>SolutionSelected</t>
  </si>
  <si>
    <t>RCSolutionSelected</t>
  </si>
  <si>
    <t>Solution Selected</t>
  </si>
  <si>
    <t>rpt_RCSolutionSelected</t>
  </si>
  <si>
    <t>chart:roi!CumCashFlowCh</t>
  </si>
  <si>
    <t>dCFYr</t>
  </si>
  <si>
    <t>dCFneg</t>
  </si>
  <si>
    <t>dCFpos</t>
  </si>
  <si>
    <t>dCFds</t>
  </si>
  <si>
    <t>dCFdep</t>
  </si>
  <si>
    <t>dCFb</t>
  </si>
  <si>
    <t>dCFpb</t>
  </si>
  <si>
    <t>Date requires special formula for when payback is &gt; max year. Na() results in a gap</t>
  </si>
  <si>
    <t>chart:roi!ROICostDetails</t>
  </si>
  <si>
    <t>rpt_ProjSum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</si>
</sst>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_);_(* \(#,##0.0\);_(* &quot;-&quot;_);_(@_)"/>
    <numFmt numFmtId="167" formatCode="0.0"/>
    <numFmt numFmtId="168" formatCode="_(* #,##0.00_);_(* \(#,##0.00\);_(* &quot;-&quot;_);_(@_)"/>
    <numFmt numFmtId="169" formatCode="dddd\,\ mmmm\ d\,\ yyyy"/>
    <numFmt numFmtId="170" formatCode="[$$]#,##0.00_);\([$$]#,##0.00\)"/>
    <numFmt numFmtId="171" formatCode="_([$$]* #,##0_);_([$$]* \(#,##0\);_([$$]* &quot;-&quot;_);_(@_)"/>
    <numFmt numFmtId="172" formatCode="_([$$]* #,##0.00_);_([$$]* \(#,##0.00\);_([$$]* &quot;-&quot;??_);_(@_)"/>
    <numFmt numFmtId="173" formatCode="_([$$]* #,##0_);_([$$]* \(#,##0\);_([$$]* &quot;-&quot;??_);_(@_)"/>
    <numFmt numFmtId="174" formatCode="[$$]#,##0_);[Red]\([$$]#,##0\)"/>
    <numFmt numFmtId="175" formatCode="[$$]#,##0_);\([$$]#,##0\)"/>
    <numFmt numFmtId="176" formatCode="[$-F800]dddd\,\ mmmm\ dd\,\ yyyy"/>
  </numFmts>
  <fonts count="90">
    <font>
      <sz val="10"/>
      <name val="Arial"/>
    </font>
    <font>
      <sz val="11"/>
      <color theme="1"/>
      <name val="Calibri"/>
      <family val="2"/>
      <scheme val="minor"/>
    </font>
    <font>
      <sz val="11"/>
      <color theme="1"/>
      <name val="Calibri"/>
      <family val="2"/>
      <scheme val="minor"/>
    </font>
    <font>
      <sz val="10"/>
      <name val="Arial"/>
      <family val="2"/>
    </font>
    <font>
      <sz val="11"/>
      <color indexed="8"/>
      <name val="Calibri"/>
      <family val="2"/>
    </font>
    <font>
      <sz val="10"/>
      <name val="Arial"/>
      <family val="2"/>
    </font>
    <font>
      <b/>
      <sz val="18"/>
      <name val="Arial Black"/>
      <family val="2"/>
    </font>
    <font>
      <b/>
      <sz val="10"/>
      <name val="Arial"/>
      <family val="2"/>
    </font>
    <font>
      <u/>
      <sz val="10"/>
      <color indexed="12"/>
      <name val="Arial"/>
      <family val="2"/>
    </font>
    <font>
      <i/>
      <sz val="8"/>
      <color indexed="23"/>
      <name val="Calibri"/>
      <family val="2"/>
    </font>
    <font>
      <b/>
      <sz val="12"/>
      <color indexed="18"/>
      <name val="Arial"/>
      <family val="2"/>
    </font>
    <font>
      <i/>
      <sz val="10"/>
      <name val="Calibri"/>
      <family val="2"/>
    </font>
    <font>
      <b/>
      <sz val="10"/>
      <color indexed="10"/>
      <name val="Arial"/>
      <family val="2"/>
    </font>
    <font>
      <sz val="10"/>
      <color indexed="8"/>
      <name val="Arial"/>
      <family val="2"/>
    </font>
    <font>
      <sz val="11"/>
      <color indexed="8"/>
      <name val="Arial"/>
      <family val="2"/>
    </font>
    <font>
      <sz val="8"/>
      <name val="Arial"/>
      <family val="2"/>
    </font>
    <font>
      <b/>
      <sz val="11"/>
      <color indexed="8"/>
      <name val="Arial"/>
      <family val="2"/>
    </font>
    <font>
      <b/>
      <sz val="9"/>
      <name val="Arial"/>
      <family val="2"/>
    </font>
    <font>
      <sz val="9"/>
      <name val="Arial"/>
      <family val="2"/>
    </font>
    <font>
      <u/>
      <sz val="10"/>
      <name val="Arial"/>
      <family val="2"/>
    </font>
    <font>
      <b/>
      <sz val="18"/>
      <name val="Arial"/>
      <family val="2"/>
    </font>
    <font>
      <b/>
      <sz val="11"/>
      <color indexed="18"/>
      <name val="Arial"/>
      <family val="2"/>
    </font>
    <font>
      <i/>
      <sz val="9"/>
      <color rgb="FF7F7F7F"/>
      <name val="Calibri"/>
      <family val="2"/>
      <scheme val="minor"/>
    </font>
    <font>
      <b/>
      <sz val="14"/>
      <color rgb="FF000066"/>
      <name val="Arial Black"/>
      <family val="2"/>
    </font>
    <font>
      <b/>
      <sz val="12"/>
      <color rgb="FF000099"/>
      <name val="Arial Rounded MT Bold"/>
      <family val="2"/>
    </font>
    <font>
      <b/>
      <sz val="11"/>
      <color rgb="FF0033CC"/>
      <name val="Arial Rounded MT Bold"/>
      <family val="2"/>
    </font>
    <font>
      <sz val="10"/>
      <color rgb="FFFF0000"/>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rgb="FFFA7D00"/>
      <name val="Calibri"/>
      <family val="2"/>
      <scheme val="minor"/>
    </font>
    <font>
      <b/>
      <sz val="11"/>
      <color theme="0"/>
      <name val="Calibri"/>
      <family val="2"/>
      <scheme val="minor"/>
    </font>
    <font>
      <sz val="10"/>
      <color rgb="FF000000"/>
      <name val="Arial"/>
      <family val="2"/>
    </font>
    <font>
      <sz val="11"/>
      <color indexed="16"/>
      <name val="Calibri"/>
      <family val="2"/>
    </font>
    <font>
      <b/>
      <sz val="11"/>
      <color indexed="9"/>
      <name val="Calibri"/>
      <family val="2"/>
    </font>
    <font>
      <sz val="11"/>
      <color indexed="17"/>
      <name val="Calibri"/>
      <family val="2"/>
    </font>
    <font>
      <sz val="11"/>
      <color indexed="53"/>
      <name val="Calibri"/>
      <family val="2"/>
    </font>
    <font>
      <sz val="11"/>
      <color indexed="60"/>
      <name val="Calibri"/>
      <family val="2"/>
    </font>
    <font>
      <sz val="10"/>
      <name val="Arial"/>
      <family val="2"/>
    </font>
    <font>
      <sz val="11"/>
      <color rgb="FF3F3F76"/>
      <name val="Calibri"/>
      <family val="2"/>
      <scheme val="minor"/>
    </font>
    <font>
      <b/>
      <sz val="11"/>
      <color rgb="FF3F3F3F"/>
      <name val="Calibri"/>
      <family val="2"/>
      <scheme val="minor"/>
    </font>
    <font>
      <b/>
      <sz val="11"/>
      <color rgb="FFFA7D00"/>
      <name val="Calibri"/>
      <family val="2"/>
      <scheme val="minor"/>
    </font>
    <font>
      <sz val="10"/>
      <name val="Arial"/>
      <family val="2"/>
    </font>
    <font>
      <i/>
      <sz val="8"/>
      <color rgb="FF7F7F7F"/>
      <name val="Calibri"/>
      <family val="2"/>
      <scheme val="minor"/>
    </font>
    <font>
      <i/>
      <sz val="10"/>
      <name val="Calibri"/>
      <family val="2"/>
      <scheme val="minor"/>
    </font>
    <font>
      <sz val="10"/>
      <color rgb="FF000099"/>
      <name val="Franklin Gothic Book"/>
      <family val="2"/>
    </font>
    <font>
      <b/>
      <u/>
      <sz val="10"/>
      <name val="Arial"/>
      <family val="2"/>
    </font>
    <font>
      <b/>
      <sz val="12"/>
      <name val="Calibri"/>
      <family val="2"/>
    </font>
    <font>
      <b/>
      <sz val="8"/>
      <name val="Arial"/>
      <family val="2"/>
    </font>
    <font>
      <sz val="7"/>
      <color rgb="FF000099"/>
      <name val="Franklin Gothic Book"/>
      <family val="2"/>
    </font>
    <font>
      <sz val="10"/>
      <color rgb="FFFFFFFF"/>
      <name val="Arial"/>
      <family val="2"/>
    </font>
    <font>
      <u/>
      <sz val="8"/>
      <color indexed="12"/>
      <name val="Arial"/>
      <family val="2"/>
    </font>
    <font>
      <b/>
      <sz val="14"/>
      <color rgb="FF000066"/>
      <name val="Arial"/>
      <family val="2"/>
    </font>
    <font>
      <sz val="8"/>
      <color rgb="FFFF0000"/>
      <name val="Arial"/>
      <family val="2"/>
    </font>
    <font>
      <sz val="11"/>
      <name val="Arial"/>
      <family val="2"/>
    </font>
    <font>
      <b/>
      <sz val="10"/>
      <color theme="0"/>
      <name val="Verdana"/>
      <family val="2"/>
    </font>
    <font>
      <sz val="10"/>
      <color theme="1"/>
      <name val="Verdana"/>
      <family val="2"/>
    </font>
    <font>
      <sz val="8"/>
      <color theme="1" tint="0.499984740745262"/>
      <name val="Arial"/>
      <family val="2"/>
    </font>
    <font>
      <sz val="11"/>
      <color rgb="FF000000"/>
      <name val="Calibri"/>
      <family val="2"/>
    </font>
    <font>
      <sz val="8"/>
      <color rgb="FF0000FF"/>
      <name val="Arial"/>
      <family val="2"/>
    </font>
    <font>
      <b/>
      <sz val="10"/>
      <color rgb="FFFF0000"/>
      <name val="Arial"/>
      <family val="2"/>
    </font>
    <font>
      <sz val="22"/>
      <color rgb="FFFF0000"/>
      <name val="Arial"/>
      <family val="2"/>
    </font>
    <font>
      <i/>
      <sz val="9"/>
      <name val="Calibri"/>
      <family val="2"/>
      <scheme val="minor"/>
    </font>
    <font>
      <sz val="10"/>
      <color rgb="FF0000FF"/>
      <name val="Arial"/>
      <family val="2"/>
    </font>
    <font>
      <sz val="10"/>
      <color rgb="FF7030A0"/>
      <name val="Arial"/>
      <family val="2"/>
    </font>
    <font>
      <b/>
      <sz val="10"/>
      <color rgb="FF7030A0"/>
      <name val="Arial"/>
      <family val="2"/>
    </font>
    <font>
      <b/>
      <sz val="11"/>
      <name val="Arial"/>
      <family val="2"/>
    </font>
    <font>
      <sz val="10"/>
      <color theme="5"/>
      <name val="Arial"/>
      <family val="2"/>
    </font>
    <font>
      <sz val="10"/>
      <color rgb="FFFF0000"/>
      <name val="Verdana"/>
      <family val="2"/>
    </font>
    <font>
      <sz val="5"/>
      <color rgb="FFFF0000"/>
      <name val="Arial"/>
      <family val="2"/>
    </font>
    <font>
      <sz val="5"/>
      <name val="Arial"/>
      <family val="2"/>
    </font>
    <font>
      <b/>
      <sz val="18"/>
      <color theme="3"/>
      <name val="Cambria"/>
      <family val="2"/>
      <scheme val="major"/>
    </font>
    <font>
      <sz val="10"/>
      <color rgb="FFA6A6A6"/>
      <name val="Arial"/>
      <family val="2"/>
    </font>
    <font>
      <sz val="11"/>
      <color theme="0"/>
      <name val="Calibri"/>
      <family val="2"/>
      <scheme val="minor"/>
    </font>
    <font>
      <sz val="7"/>
      <color rgb="FF0000FF"/>
      <name val="Franklin Gothic Book"/>
      <family val="2"/>
    </font>
    <font>
      <sz val="10"/>
      <color rgb="FF0000FF"/>
      <name val="Franklin Gothic Book"/>
      <family val="2"/>
    </font>
    <font>
      <sz val="11"/>
      <color theme="0" tint="-0.499984740745262"/>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9"/>
      <color theme="0" tint="-0.499984740745262"/>
      <name val="Calibri"/>
      <family val="2"/>
      <scheme val="minor"/>
    </font>
    <font>
      <sz val="11"/>
      <name val="Calibri"/>
      <family val="2"/>
      <scheme val="minor"/>
    </font>
    <font>
      <sz val="9"/>
      <color theme="1"/>
      <name val="Calibri"/>
      <family val="2"/>
      <scheme val="minor"/>
    </font>
    <font>
      <b/>
      <sz val="11"/>
      <color theme="9" tint="-0.24994659260841701"/>
      <name val="Calibri"/>
      <family val="2"/>
      <scheme val="minor"/>
    </font>
    <font>
      <u/>
      <sz val="11"/>
      <color theme="10"/>
      <name val="Calibri"/>
      <family val="2"/>
      <scheme val="minor"/>
    </font>
    <font>
      <i/>
      <sz val="10"/>
      <color rgb="FF7F7F7F"/>
      <name val="Calibri"/>
      <family val="2"/>
      <scheme val="minor"/>
    </font>
    <font>
      <b/>
      <sz val="11"/>
      <color theme="4" tint="-0.499984740745262"/>
      <name val="Cambria"/>
      <family val="2"/>
      <scheme val="major"/>
    </font>
    <font>
      <b/>
      <sz val="16"/>
      <color theme="1"/>
      <name val="Calibri"/>
      <family val="2"/>
      <scheme val="minor"/>
    </font>
    <font>
      <b/>
      <sz val="14"/>
      <color theme="0"/>
      <name val="Calibri"/>
      <family val="2"/>
      <scheme val="minor"/>
    </font>
    <font>
      <b/>
      <sz val="11"/>
      <color rgb="FFFF0000"/>
      <name val="Arial"/>
      <family val="2"/>
    </font>
  </fonts>
  <fills count="65">
    <fill>
      <patternFill patternType="none"/>
    </fill>
    <fill>
      <patternFill patternType="gray125"/>
    </fill>
    <fill>
      <patternFill patternType="solid">
        <fgColor indexed="9"/>
        <bgColor indexed="64"/>
      </patternFill>
    </fill>
    <fill>
      <patternFill patternType="solid">
        <fgColor rgb="FFD0DDEC"/>
        <bgColor indexed="64"/>
      </patternFill>
    </fill>
    <fill>
      <patternFill patternType="solid">
        <fgColor rgb="FFFF000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249977111117893"/>
        <bgColor auto="1"/>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tint="0.79998168889431442"/>
        <bgColor indexed="64"/>
      </patternFill>
    </fill>
    <fill>
      <patternFill patternType="solid">
        <fgColor indexed="55"/>
        <bgColor indexed="55"/>
      </patternFill>
    </fill>
    <fill>
      <patternFill patternType="solid">
        <fgColor indexed="42"/>
        <bgColor indexed="42"/>
      </patternFill>
    </fill>
    <fill>
      <patternFill patternType="solid">
        <fgColor indexed="45"/>
        <bgColor indexed="45"/>
      </patternFill>
    </fill>
    <fill>
      <patternFill patternType="solid">
        <fgColor indexed="43"/>
        <bgColor indexed="43"/>
      </patternFill>
    </fill>
    <fill>
      <patternFill patternType="solid">
        <fgColor rgb="FFFFCC99"/>
      </patternFill>
    </fill>
    <fill>
      <patternFill patternType="solid">
        <fgColor rgb="FFF2F2F2"/>
      </patternFill>
    </fill>
    <fill>
      <patternFill patternType="solid">
        <fgColor rgb="FFDDDDDD"/>
        <bgColor indexed="64"/>
      </patternFill>
    </fill>
    <fill>
      <patternFill patternType="solid">
        <fgColor rgb="FFFFFFCC"/>
      </patternFill>
    </fill>
    <fill>
      <patternFill patternType="solid">
        <fgColor rgb="FFFFFFCC"/>
        <bgColor indexed="64"/>
      </patternFill>
    </fill>
    <fill>
      <patternFill patternType="solid">
        <fgColor rgb="FF00B050"/>
        <bgColor indexed="64"/>
      </patternFill>
    </fill>
    <fill>
      <patternFill patternType="solid">
        <fgColor rgb="FFF3F7FF"/>
        <bgColor indexed="64"/>
      </patternFill>
    </fill>
    <fill>
      <gradientFill degree="90">
        <stop position="0">
          <color theme="4" tint="0.59999389629810485"/>
        </stop>
        <stop position="0.5">
          <color theme="4" tint="0.80001220740379042"/>
        </stop>
        <stop position="1">
          <color theme="4" tint="0.59999389629810485"/>
        </stop>
      </gradientFill>
    </fill>
    <fill>
      <patternFill patternType="solid">
        <fgColor theme="2"/>
        <bgColor indexed="64"/>
      </patternFill>
    </fill>
    <fill>
      <patternFill patternType="solid">
        <fgColor rgb="FFF1F4F9"/>
        <bgColor indexed="64"/>
      </patternFill>
    </fill>
    <fill>
      <patternFill patternType="solid">
        <fgColor rgb="FFF6F0D6"/>
        <bgColor indexed="64"/>
      </patternFill>
    </fill>
    <fill>
      <patternFill patternType="solid">
        <fgColor theme="4" tint="0.59996337778862885"/>
        <bgColor indexed="64"/>
      </patternFill>
    </fill>
    <fill>
      <patternFill patternType="solid">
        <fgColor rgb="FF92D050"/>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E4EAF4"/>
        <bgColor indexed="64"/>
      </patternFill>
    </fill>
    <fill>
      <patternFill patternType="solid">
        <fgColor rgb="FFD4E4F8"/>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rgb="FFFFFFE1"/>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rgb="FFF4F3E0"/>
        <bgColor indexed="64"/>
      </patternFill>
    </fill>
    <fill>
      <patternFill patternType="solid">
        <fgColor theme="5"/>
      </patternFill>
    </fill>
    <fill>
      <patternFill patternType="solid">
        <fgColor theme="5" tint="0.79998168889431442"/>
        <bgColor indexed="65"/>
      </patternFill>
    </fill>
    <fill>
      <patternFill patternType="solid">
        <fgColor rgb="FFFEFFCD"/>
        <bgColor indexed="64"/>
      </patternFill>
    </fill>
    <fill>
      <patternFill patternType="solid">
        <fgColor theme="4"/>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7"/>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9"/>
      </patternFill>
    </fill>
    <fill>
      <patternFill patternType="solid">
        <fgColor theme="9" tint="0.79998168889431442"/>
        <bgColor indexed="65"/>
      </patternFill>
    </fill>
    <fill>
      <patternFill patternType="lightDown">
        <fgColor theme="7" tint="0.79998168889431442"/>
        <bgColor indexed="65"/>
      </patternFill>
    </fill>
    <fill>
      <patternFill patternType="solid">
        <fgColor theme="2"/>
        <bgColor auto="1"/>
      </patternFill>
    </fill>
    <fill>
      <patternFill patternType="solid">
        <fgColor rgb="FFFBFBFB"/>
        <bgColor indexed="64"/>
      </patternFill>
    </fill>
    <fill>
      <patternFill patternType="solid">
        <fgColor theme="4"/>
        <bgColor indexed="64"/>
      </patternFill>
    </fill>
    <fill>
      <patternFill patternType="solid">
        <fgColor theme="8" tint="0.79998168889431442"/>
        <bgColor indexed="64"/>
      </patternFill>
    </fill>
    <fill>
      <patternFill patternType="solid">
        <fgColor rgb="FFF5F5F5"/>
        <bgColor indexed="64"/>
      </patternFill>
    </fill>
  </fills>
  <borders count="197">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hair">
        <color theme="4" tint="-0.24994659260841701"/>
      </left>
      <right style="hair">
        <color theme="4" tint="-0.24994659260841701"/>
      </right>
      <top style="hair">
        <color theme="4" tint="-0.24994659260841701"/>
      </top>
      <bottom style="hair">
        <color theme="4" tint="-0.2499465926084170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double">
        <color theme="4"/>
      </top>
      <bottom style="thin">
        <color rgb="FFB2B2B2"/>
      </bottom>
      <diagonal/>
    </border>
    <border>
      <left style="thin">
        <color rgb="FF0066FF"/>
      </left>
      <right style="thin">
        <color rgb="FF0066FF"/>
      </right>
      <top style="thin">
        <color rgb="FF0066FF"/>
      </top>
      <bottom style="thin">
        <color rgb="FF0066F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4"/>
      </left>
      <right style="thin">
        <color theme="4"/>
      </right>
      <top style="thin">
        <color theme="4"/>
      </top>
      <bottom style="thin">
        <color theme="4"/>
      </bottom>
      <diagonal/>
    </border>
    <border>
      <left style="hair">
        <color theme="4"/>
      </left>
      <right style="hair">
        <color theme="4"/>
      </right>
      <top style="double">
        <color theme="4"/>
      </top>
      <bottom style="hair">
        <color theme="4"/>
      </bottom>
      <diagonal/>
    </border>
    <border>
      <left style="thin">
        <color indexed="64"/>
      </left>
      <right/>
      <top/>
      <bottom/>
      <diagonal/>
    </border>
    <border>
      <left style="medium">
        <color indexed="64"/>
      </left>
      <right/>
      <top/>
      <bottom/>
      <diagonal/>
    </border>
    <border>
      <left/>
      <right style="medium">
        <color indexed="64"/>
      </right>
      <top/>
      <bottom/>
      <diagonal/>
    </border>
    <border>
      <left/>
      <right/>
      <top style="thin">
        <color theme="0" tint="-0.499984740745262"/>
      </top>
      <bottom style="thin">
        <color theme="0" tint="-0.499984740745262"/>
      </bottom>
      <diagonal/>
    </border>
    <border>
      <left style="dashed">
        <color theme="0" tint="-0.34998626667073579"/>
      </left>
      <right/>
      <top style="dashed">
        <color theme="0" tint="-0.34998626667073579"/>
      </top>
      <bottom/>
      <diagonal/>
    </border>
    <border>
      <left/>
      <right/>
      <top style="dashed">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double">
        <color theme="1" tint="0.34998626667073579"/>
      </top>
      <bottom style="thin">
        <color theme="0" tint="-0.24994659260841701"/>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0" tint="-0.24994659260841701"/>
      </left>
      <right style="thin">
        <color theme="0" tint="-0.24994659260841701"/>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24994659260841701"/>
      </left>
      <right style="thin">
        <color indexed="64"/>
      </right>
      <top style="thin">
        <color theme="0" tint="-0.24994659260841701"/>
      </top>
      <bottom style="thin">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bottom style="thin">
        <color theme="0" tint="-0.34998626667073579"/>
      </bottom>
      <diagonal/>
    </border>
    <border>
      <left style="thin">
        <color theme="0" tint="-0.34998626667073579"/>
      </left>
      <right style="double">
        <color theme="4" tint="0.59996337778862885"/>
      </right>
      <top style="thin">
        <color theme="0" tint="-0.34998626667073579"/>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medium">
        <color indexed="64"/>
      </left>
      <right style="medium">
        <color indexed="64"/>
      </right>
      <top style="double">
        <color theme="1" tint="0.34998626667073579"/>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ashed">
        <color theme="0" tint="-0.34998626667073579"/>
      </left>
      <right style="dashed">
        <color theme="0" tint="-0.34998626667073579"/>
      </right>
      <top/>
      <bottom style="dashed">
        <color theme="0" tint="-0.34998626667073579"/>
      </bottom>
      <diagonal/>
    </border>
    <border>
      <left style="medium">
        <color indexed="64"/>
      </left>
      <right style="medium">
        <color indexed="64"/>
      </right>
      <top/>
      <bottom style="thin">
        <color theme="0" tint="-0.24994659260841701"/>
      </bottom>
      <diagonal/>
    </border>
    <border>
      <left style="thin">
        <color theme="0" tint="-0.34998626667073579"/>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499984740745262"/>
      </right>
      <top/>
      <bottom/>
      <diagonal/>
    </border>
    <border>
      <left/>
      <right style="thin">
        <color theme="0" tint="-0.24994659260841701"/>
      </right>
      <top/>
      <bottom/>
      <diagonal/>
    </border>
    <border>
      <left/>
      <right/>
      <top style="thin">
        <color theme="0" tint="-0.499984740745262"/>
      </top>
      <bottom/>
      <diagonal/>
    </border>
    <border>
      <left style="thin">
        <color theme="0" tint="-0.24994659260841701"/>
      </left>
      <right style="thin">
        <color theme="4" tint="0.59996337778862885"/>
      </right>
      <top style="thin">
        <color theme="4" tint="0.59996337778862885"/>
      </top>
      <bottom style="thin">
        <color theme="4" tint="0.59996337778862885"/>
      </bottom>
      <diagonal/>
    </border>
    <border>
      <left style="thin">
        <color theme="0" tint="-0.34998626667073579"/>
      </left>
      <right style="thin">
        <color theme="0" tint="-0.34998626667073579"/>
      </right>
      <top/>
      <bottom style="thin">
        <color theme="0" tint="-0.34998626667073579"/>
      </bottom>
      <diagonal/>
    </border>
    <border>
      <left/>
      <right style="thin">
        <color theme="0" tint="-0.24994659260841701"/>
      </right>
      <top/>
      <bottom style="thin">
        <color theme="0" tint="-0.24994659260841701"/>
      </bottom>
      <diagonal/>
    </border>
    <border>
      <left style="thin">
        <color theme="0" tint="-0.24994659260841701"/>
      </left>
      <right/>
      <top style="double">
        <color theme="1" tint="0.34998626667073579"/>
      </top>
      <bottom style="thin">
        <color theme="0" tint="-0.24994659260841701"/>
      </bottom>
      <diagonal/>
    </border>
    <border>
      <left style="thin">
        <color theme="0" tint="-0.24994659260841701"/>
      </left>
      <right style="thin">
        <color theme="0" tint="-0.24994659260841701"/>
      </right>
      <top style="double">
        <color theme="1" tint="0.34998626667073579"/>
      </top>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4" tint="0.59996337778862885"/>
      </right>
      <top style="thin">
        <color theme="4" tint="0.59996337778862885"/>
      </top>
      <bottom/>
      <diagonal/>
    </border>
    <border>
      <left/>
      <right style="thin">
        <color theme="4" tint="0.59996337778862885"/>
      </right>
      <top style="thin">
        <color theme="4" tint="0.59996337778862885"/>
      </top>
      <bottom style="thin">
        <color theme="4" tint="0.59996337778862885"/>
      </bottom>
      <diagonal/>
    </border>
    <border>
      <left style="thin">
        <color theme="0" tint="-0.24994659260841701"/>
      </left>
      <right/>
      <top/>
      <bottom style="thin">
        <color theme="0" tint="-0.24994659260841701"/>
      </bottom>
      <diagonal/>
    </border>
    <border>
      <left/>
      <right style="thin">
        <color theme="0" tint="-0.24994659260841701"/>
      </right>
      <top style="double">
        <color theme="1" tint="0.34998626667073579"/>
      </top>
      <bottom style="thin">
        <color theme="0" tint="-0.24994659260841701"/>
      </bottom>
      <diagonal/>
    </border>
    <border>
      <left/>
      <right style="thin">
        <color theme="0" tint="-0.24994659260841701"/>
      </right>
      <top style="thin">
        <color theme="0" tint="-0.24994659260841701"/>
      </top>
      <bottom/>
      <diagonal/>
    </border>
    <border>
      <left style="thin">
        <color theme="0" tint="-0.34998626667073579"/>
      </left>
      <right/>
      <top style="thin">
        <color theme="0" tint="-0.34998626667073579"/>
      </top>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499984740745262"/>
      </right>
      <top style="thin">
        <color theme="0" tint="-0.499984740745262"/>
      </top>
      <bottom/>
      <diagonal/>
    </border>
    <border>
      <left/>
      <right/>
      <top/>
      <bottom style="thin">
        <color theme="0" tint="-0.24994659260841701"/>
      </bottom>
      <diagonal/>
    </border>
    <border>
      <left style="thin">
        <color theme="0" tint="-0.24994659260841701"/>
      </left>
      <right/>
      <top/>
      <bottom/>
      <diagonal/>
    </border>
    <border>
      <left style="thin">
        <color theme="0" tint="-0.34998626667073579"/>
      </left>
      <right/>
      <top/>
      <bottom style="thin">
        <color theme="0" tint="-0.34998626667073579"/>
      </bottom>
      <diagonal/>
    </border>
    <border>
      <left/>
      <right style="thin">
        <color indexed="64"/>
      </right>
      <top style="thin">
        <color theme="0" tint="-0.24994659260841701"/>
      </top>
      <bottom style="thin">
        <color theme="0" tint="-0.24994659260841701"/>
      </bottom>
      <diagonal/>
    </border>
    <border>
      <left style="thin">
        <color indexed="64"/>
      </left>
      <right style="thin">
        <color theme="0" tint="-0.34998626667073579"/>
      </right>
      <top/>
      <bottom style="thin">
        <color indexed="64"/>
      </bottom>
      <diagonal/>
    </border>
    <border>
      <left style="thin">
        <color theme="0" tint="-0.24994659260841701"/>
      </left>
      <right style="thin">
        <color theme="0" tint="-0.24994659260841701"/>
      </right>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theme="0" tint="-0.499984740745262"/>
      </right>
      <top style="thin">
        <color indexed="64"/>
      </top>
      <bottom/>
      <diagonal/>
    </border>
    <border>
      <left/>
      <right style="thin">
        <color indexed="64"/>
      </right>
      <top/>
      <bottom style="thin">
        <color theme="0" tint="-0.24994659260841701"/>
      </bottom>
      <diagonal/>
    </border>
    <border>
      <left style="thin">
        <color theme="0" tint="-0.34998626667073579"/>
      </left>
      <right style="thin">
        <color theme="0" tint="-0.34998626667073579"/>
      </right>
      <top/>
      <bottom/>
      <diagonal/>
    </border>
    <border>
      <left/>
      <right style="thin">
        <color theme="0" tint="-0.24994659260841701"/>
      </right>
      <top style="double">
        <color theme="1" tint="0.34998626667073579"/>
      </top>
      <bottom/>
      <diagonal/>
    </border>
    <border>
      <left style="thin">
        <color theme="4" tint="0.59996337778862885"/>
      </left>
      <right style="thin">
        <color theme="4" tint="0.59996337778862885"/>
      </right>
      <top style="thin">
        <color theme="4" tint="0.59996337778862885"/>
      </top>
      <bottom/>
      <diagonal/>
    </border>
    <border>
      <left/>
      <right/>
      <top style="thin">
        <color theme="0" tint="-0.34998626667073579"/>
      </top>
      <bottom/>
      <diagonal/>
    </border>
    <border>
      <left/>
      <right/>
      <top style="thin">
        <color theme="0" tint="-0.24994659260841701"/>
      </top>
      <bottom/>
      <diagonal/>
    </border>
    <border>
      <left style="medium">
        <color theme="1" tint="0.499984740745262"/>
      </left>
      <right style="thin">
        <color theme="0" tint="-0.24994659260841701"/>
      </right>
      <top style="medium">
        <color theme="1" tint="0.499984740745262"/>
      </top>
      <bottom style="medium">
        <color theme="1" tint="0.499984740745262"/>
      </bottom>
      <diagonal/>
    </border>
    <border>
      <left style="thin">
        <color theme="0" tint="-0.34998626667073579"/>
      </left>
      <right style="thin">
        <color theme="0" tint="-0.24994659260841701"/>
      </right>
      <top style="thin">
        <color theme="0" tint="-0.34998626667073579"/>
      </top>
      <bottom/>
      <diagonal/>
    </border>
    <border>
      <left style="thin">
        <color theme="0" tint="-0.34998626667073579"/>
      </left>
      <right style="thin">
        <color theme="0" tint="-0.34998626667073579"/>
      </right>
      <top style="thin">
        <color theme="0" tint="-0.499984740745262"/>
      </top>
      <bottom/>
      <diagonal/>
    </border>
    <border>
      <left style="thin">
        <color theme="0" tint="-0.24994659260841701"/>
      </left>
      <right/>
      <top style="thin">
        <color theme="0" tint="-0.499984740745262"/>
      </top>
      <bottom/>
      <diagonal/>
    </border>
    <border>
      <left style="thin">
        <color theme="0" tint="-0.499984740745262"/>
      </left>
      <right/>
      <top style="thin">
        <color indexed="64"/>
      </top>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top style="thin">
        <color theme="0" tint="-0.499984740745262"/>
      </top>
      <bottom/>
      <diagonal/>
    </border>
    <border>
      <left style="thin">
        <color theme="0" tint="-0.34998626667073579"/>
      </left>
      <right style="thin">
        <color theme="0" tint="-0.24994659260841701"/>
      </right>
      <top style="thin">
        <color theme="0" tint="-0.499984740745262"/>
      </top>
      <bottom/>
      <diagonal/>
    </border>
    <border>
      <left style="thin">
        <color indexed="64"/>
      </left>
      <right/>
      <top style="thin">
        <color theme="0" tint="-0.34998626667073579"/>
      </top>
      <bottom/>
      <diagonal/>
    </border>
    <border>
      <left style="thin">
        <color theme="0" tint="-0.34998626667073579"/>
      </left>
      <right style="thin">
        <color theme="0" tint="-0.24994659260841701"/>
      </right>
      <top style="thin">
        <color theme="0" tint="-0.24994659260841701"/>
      </top>
      <bottom/>
      <diagonal/>
    </border>
    <border>
      <left style="thin">
        <color indexed="64"/>
      </left>
      <right/>
      <top style="thin">
        <color theme="0" tint="-0.34998626667073579"/>
      </top>
      <bottom style="thin">
        <color indexed="64"/>
      </bottom>
      <diagonal/>
    </border>
    <border>
      <left style="thin">
        <color theme="0" tint="-0.34998626667073579"/>
      </left>
      <right style="thin">
        <color theme="0" tint="-0.24994659260841701"/>
      </right>
      <top style="thin">
        <color theme="0" tint="-0.24994659260841701"/>
      </top>
      <bottom style="thin">
        <color indexed="64"/>
      </bottom>
      <diagonal/>
    </border>
    <border>
      <left style="thin">
        <color theme="0" tint="-0.24994659260841701"/>
      </left>
      <right style="thin">
        <color theme="4" tint="0.59996337778862885"/>
      </right>
      <top/>
      <bottom/>
      <diagonal/>
    </border>
    <border>
      <left style="thin">
        <color theme="0" tint="-0.24994659260841701"/>
      </left>
      <right style="thin">
        <color theme="4" tint="0.59996337778862885"/>
      </right>
      <top style="thin">
        <color theme="0" tint="-0.499984740745262"/>
      </top>
      <bottom/>
      <diagonal/>
    </border>
    <border>
      <left style="thin">
        <color theme="4" tint="0.59996337778862885"/>
      </left>
      <right style="thin">
        <color theme="4" tint="0.59996337778862885"/>
      </right>
      <top style="thin">
        <color theme="0" tint="-0.499984740745262"/>
      </top>
      <bottom/>
      <diagonal/>
    </border>
    <border>
      <left style="thin">
        <color theme="0" tint="-0.34998626667073579"/>
      </left>
      <right/>
      <top/>
      <bottom/>
      <diagonal/>
    </border>
    <border>
      <left style="thin">
        <color theme="0" tint="-0.34998626667073579"/>
      </left>
      <right/>
      <top style="thin">
        <color theme="0" tint="-0.24994659260841701"/>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style="medium">
        <color theme="1" tint="0.499984740745262"/>
      </right>
      <top style="medium">
        <color theme="1" tint="0.499984740745262"/>
      </top>
      <bottom/>
      <diagonal/>
    </border>
    <border diagonalUp="1" diagonalDown="1">
      <left/>
      <right/>
      <top/>
      <bottom/>
      <diagonal style="thin">
        <color rgb="FFFF0000"/>
      </diagonal>
    </border>
    <border>
      <left/>
      <right/>
      <top/>
      <bottom style="thick">
        <color theme="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4" tint="0.59996337778862885"/>
      </left>
      <right/>
      <top style="thin">
        <color theme="4" tint="0.59996337778862885"/>
      </top>
      <bottom style="thin">
        <color theme="4" tint="0.59996337778862885"/>
      </bottom>
      <diagonal/>
    </border>
    <border>
      <left style="medium">
        <color theme="1" tint="0.499984740745262"/>
      </left>
      <right/>
      <top style="medium">
        <color theme="1" tint="0.499984740745262"/>
      </top>
      <bottom style="medium">
        <color theme="1" tint="0.499984740745262"/>
      </bottom>
      <diagonal/>
    </border>
    <border>
      <left style="thin">
        <color theme="1" tint="0.499984740745262"/>
      </left>
      <right/>
      <top style="medium">
        <color theme="1" tint="0.499984740745262"/>
      </top>
      <bottom style="medium">
        <color theme="1" tint="0.499984740745262"/>
      </bottom>
      <diagonal/>
    </border>
    <border>
      <left style="medium">
        <color theme="1" tint="0.499984740745262"/>
      </left>
      <right/>
      <top style="medium">
        <color theme="1" tint="0.499984740745262"/>
      </top>
      <bottom/>
      <diagonal/>
    </border>
    <border>
      <left style="thin">
        <color theme="1" tint="0.499984740745262"/>
      </left>
      <right/>
      <top style="medium">
        <color theme="1" tint="0.499984740745262"/>
      </top>
      <bottom/>
      <diagonal/>
    </border>
    <border>
      <left style="medium">
        <color theme="1" tint="0.499984740745262"/>
      </left>
      <right/>
      <top style="thin">
        <color theme="0" tint="-4.9989318521683403E-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right/>
      <top style="thin">
        <color theme="0" tint="-4.9989318521683403E-2"/>
      </top>
      <bottom/>
      <diagonal/>
    </border>
    <border>
      <left/>
      <right style="medium">
        <color theme="1" tint="0.499984740745262"/>
      </right>
      <top style="thin">
        <color theme="0" tint="-4.9989318521683403E-2"/>
      </top>
      <bottom/>
      <diagonal/>
    </border>
    <border>
      <left style="medium">
        <color rgb="FF808080"/>
      </left>
      <right/>
      <top style="medium">
        <color rgb="FF808080"/>
      </top>
      <bottom/>
      <diagonal/>
    </border>
    <border>
      <left style="medium">
        <color rgb="FF808080"/>
      </left>
      <right style="medium">
        <color rgb="FF808080"/>
      </right>
      <top style="medium">
        <color rgb="FF808080"/>
      </top>
      <bottom style="medium">
        <color rgb="FF808080"/>
      </bottom>
      <diagonal/>
    </border>
    <border>
      <left style="thin">
        <color rgb="FFD9D9D9"/>
      </left>
      <right/>
      <top style="medium">
        <color rgb="FF808080"/>
      </top>
      <bottom style="medium">
        <color rgb="FF808080"/>
      </bottom>
      <diagonal/>
    </border>
    <border>
      <left style="thin">
        <color rgb="FFD9D9D9"/>
      </left>
      <right style="medium">
        <color rgb="FF808080"/>
      </right>
      <top style="medium">
        <color rgb="FF808080"/>
      </top>
      <bottom/>
      <diagonal/>
    </border>
    <border>
      <left style="medium">
        <color rgb="FF808080"/>
      </left>
      <right style="medium">
        <color rgb="FF808080"/>
      </right>
      <top style="thin">
        <color rgb="FFD9D9D9"/>
      </top>
      <bottom/>
      <diagonal/>
    </border>
    <border>
      <left style="medium">
        <color rgb="FF808080"/>
      </left>
      <right/>
      <top style="thin">
        <color rgb="FFD9D9D9"/>
      </top>
      <bottom style="medium">
        <color rgb="FF808080"/>
      </bottom>
      <diagonal/>
    </border>
    <border>
      <left style="thin">
        <color rgb="FFD9D9D9"/>
      </left>
      <right style="medium">
        <color rgb="FF808080"/>
      </right>
      <top style="thin">
        <color rgb="FFD9D9D9"/>
      </top>
      <bottom style="medium">
        <color rgb="FF808080"/>
      </bottom>
      <diagonal/>
    </border>
    <border>
      <left style="medium">
        <color rgb="FF808080"/>
      </left>
      <right/>
      <top style="thin">
        <color rgb="FFD9D9D9"/>
      </top>
      <bottom/>
      <diagonal/>
    </border>
    <border>
      <left style="thin">
        <color rgb="FFD9D9D9"/>
      </left>
      <right/>
      <top style="medium">
        <color rgb="FF808080"/>
      </top>
      <bottom/>
      <diagonal/>
    </border>
    <border>
      <left style="thin">
        <color rgb="FFD9D9D9"/>
      </left>
      <right/>
      <top style="thin">
        <color rgb="FFD9D9D9"/>
      </top>
      <bottom style="medium">
        <color rgb="FF808080"/>
      </bottom>
      <diagonal/>
    </border>
    <border>
      <left style="thin">
        <color rgb="FFD9D9D9"/>
      </left>
      <right style="medium">
        <color rgb="FF808080"/>
      </right>
      <top style="thin">
        <color rgb="FFD9D9D9"/>
      </top>
      <bottom/>
      <diagonal/>
    </border>
    <border>
      <left style="thin">
        <color rgb="FFD9D9D9"/>
      </left>
      <right/>
      <top style="thin">
        <color rgb="FFD9D9D9"/>
      </top>
      <bottom/>
      <diagonal/>
    </border>
    <border>
      <left style="medium">
        <color rgb="FF808080"/>
      </left>
      <right style="medium">
        <color rgb="FF808080"/>
      </right>
      <top style="medium">
        <color rgb="FF808080"/>
      </top>
      <bottom/>
      <diagonal/>
    </border>
    <border>
      <left style="medium">
        <color rgb="FF808080"/>
      </left>
      <right style="medium">
        <color rgb="FF808080"/>
      </right>
      <top style="thin">
        <color rgb="FFD9D9D9"/>
      </top>
      <bottom style="medium">
        <color rgb="FF808080"/>
      </bottom>
      <diagonal/>
    </border>
    <border>
      <left style="medium">
        <color rgb="FF808080"/>
      </left>
      <right/>
      <top style="medium">
        <color rgb="FF808080"/>
      </top>
      <bottom style="medium">
        <color rgb="FF808080"/>
      </bottom>
      <diagonal/>
    </border>
    <border>
      <left style="thin">
        <color rgb="FFD9D9D9"/>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style="thin">
        <color rgb="FFD9D9D9"/>
      </left>
      <right/>
      <top/>
      <bottom style="medium">
        <color rgb="FF808080"/>
      </bottom>
      <diagonal/>
    </border>
    <border>
      <left style="thin">
        <color theme="4" tint="0.59996337778862885"/>
      </left>
      <right/>
      <top style="thin">
        <color theme="4" tint="0.59996337778862885"/>
      </top>
      <bottom/>
      <diagonal/>
    </border>
    <border>
      <left style="thin">
        <color theme="0" tint="-0.24994659260841701"/>
      </left>
      <right/>
      <top style="thin">
        <color theme="4" tint="0.59996337778862885"/>
      </top>
      <bottom/>
      <diagonal/>
    </border>
    <border>
      <left style="thin">
        <color rgb="FFD9D9D9"/>
      </left>
      <right/>
      <top style="double">
        <color theme="1" tint="0.34998626667073579"/>
      </top>
      <bottom style="thin">
        <color theme="0" tint="-0.24994659260841701"/>
      </bottom>
      <diagonal/>
    </border>
    <border>
      <left style="thin">
        <color theme="0" tint="-0.24994659260841701"/>
      </left>
      <right/>
      <top style="thin">
        <color theme="4" tint="0.59996337778862885"/>
      </top>
      <bottom style="thin">
        <color theme="4" tint="0.59996337778862885"/>
      </bottom>
      <diagonal/>
    </border>
    <border>
      <left style="thin">
        <color rgb="FFD9D9D9"/>
      </left>
      <right/>
      <top style="double">
        <color theme="1" tint="0.34998626667073579"/>
      </top>
      <bottom/>
      <diagonal/>
    </border>
    <border>
      <left style="thin">
        <color theme="0" tint="-0.24994659260841701"/>
      </left>
      <right/>
      <top style="double">
        <color theme="1" tint="0.34998626667073579"/>
      </top>
      <bottom/>
      <diagonal/>
    </border>
    <border>
      <left style="thin">
        <color rgb="FFD9D9D9"/>
      </left>
      <right/>
      <top/>
      <bottom/>
      <diagonal/>
    </border>
    <border>
      <left style="thin">
        <color theme="0" tint="-0.24994659260841701"/>
      </left>
      <right/>
      <top style="thin">
        <color theme="0" tint="-0.499984740745262"/>
      </top>
      <bottom style="thin">
        <color theme="0" tint="-0.24994659260841701"/>
      </bottom>
      <diagonal/>
    </border>
    <border>
      <left/>
      <right style="thin">
        <color theme="0" tint="-0.24994659260841701"/>
      </right>
      <top style="thin">
        <color theme="0" tint="-0.499984740745262"/>
      </top>
      <bottom style="thin">
        <color theme="0"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5" tint="0.39994506668294322"/>
      </left>
      <right style="thin">
        <color theme="5" tint="0.39994506668294322"/>
      </right>
      <top style="thin">
        <color theme="5" tint="0.39994506668294322"/>
      </top>
      <bottom style="thin">
        <color theme="5" tint="0.39994506668294322"/>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7" tint="-0.24994659260841701"/>
      </left>
      <right style="thin">
        <color theme="7" tint="-0.24994659260841701"/>
      </right>
      <top style="thin">
        <color theme="7" tint="-0.24994659260841701"/>
      </top>
      <bottom style="thin">
        <color theme="7" tint="-0.24994659260841701"/>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6" tint="0.59996337778862885"/>
      </left>
      <right style="thin">
        <color theme="6" tint="0.59996337778862885"/>
      </right>
      <top style="thin">
        <color theme="6" tint="0.59996337778862885"/>
      </top>
      <bottom style="thin">
        <color theme="6" tint="0.59996337778862885"/>
      </bottom>
      <diagonal/>
    </border>
    <border>
      <left style="thin">
        <color theme="7" tint="0.59996337778862885"/>
      </left>
      <right style="thin">
        <color theme="7" tint="0.59996337778862885"/>
      </right>
      <top style="thin">
        <color theme="7" tint="0.59996337778862885"/>
      </top>
      <bottom style="thin">
        <color theme="7"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left>
      <right style="thin">
        <color theme="2"/>
      </right>
      <top style="thin">
        <color theme="2"/>
      </top>
      <bottom style="thin">
        <color theme="2"/>
      </bottom>
      <diagonal/>
    </border>
    <border>
      <left style="thick">
        <color theme="0"/>
      </left>
      <right style="thick">
        <color theme="0"/>
      </right>
      <top style="thick">
        <color theme="0"/>
      </top>
      <bottom style="thick">
        <color theme="0"/>
      </bottom>
      <diagonal/>
    </border>
    <border>
      <left style="thick">
        <color theme="0" tint="-0.14993743705557422"/>
      </left>
      <right style="thick">
        <color theme="0" tint="-0.499984740745262"/>
      </right>
      <top style="thick">
        <color theme="0" tint="-0.14993743705557422"/>
      </top>
      <bottom style="thick">
        <color theme="0" tint="-0.499984740745262"/>
      </bottom>
      <diagonal/>
    </border>
    <border>
      <left style="medium">
        <color theme="0"/>
      </left>
      <right style="medium">
        <color theme="0"/>
      </right>
      <top style="medium">
        <color theme="0"/>
      </top>
      <bottom style="medium">
        <color theme="0"/>
      </bottom>
      <diagonal/>
    </border>
    <border>
      <left style="medium">
        <color theme="0"/>
      </left>
      <right style="medium">
        <color theme="0"/>
      </right>
      <top style="double">
        <color theme="0" tint="-0.24994659260841701"/>
      </top>
      <bottom style="medium">
        <color theme="0"/>
      </bottom>
      <diagonal/>
    </border>
    <border>
      <left style="thin">
        <color theme="0"/>
      </left>
      <right style="thin">
        <color theme="0"/>
      </right>
      <top style="thin">
        <color theme="0"/>
      </top>
      <bottom style="thin">
        <color theme="0"/>
      </bottom>
      <diagonal/>
    </border>
    <border>
      <left style="medium">
        <color indexed="64"/>
      </left>
      <right style="thin">
        <color theme="0" tint="-0.34998626667073579"/>
      </right>
      <top style="thin">
        <color theme="0" tint="-0.34998626667073579"/>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medium">
        <color indexed="64"/>
      </top>
      <bottom style="thin">
        <color theme="0" tint="-0.24994659260841701"/>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76">
    <xf numFmtId="0" fontId="0" fillId="0" borderId="0"/>
    <xf numFmtId="41" fontId="5" fillId="0" borderId="0" applyFont="0" applyFill="0" applyBorder="0" applyAlignment="0" applyProtection="0"/>
    <xf numFmtId="42" fontId="5" fillId="0" borderId="0" applyFont="0" applyFill="0" applyBorder="0" applyAlignment="0" applyProtection="0"/>
    <xf numFmtId="9" fontId="3" fillId="26" borderId="27" applyNumberFormat="0">
      <alignment vertical="center" wrapText="1"/>
    </xf>
    <xf numFmtId="0" fontId="22" fillId="0" borderId="0" applyNumberFormat="0" applyFill="0" applyBorder="0" applyAlignment="0" applyProtection="0"/>
    <xf numFmtId="0" fontId="6" fillId="0" borderId="1" applyNumberFormat="0" applyFill="0" applyBorder="0" applyAlignment="0" applyProtection="0"/>
    <xf numFmtId="0" fontId="23" fillId="0" borderId="2" applyNumberFormat="0" applyFill="0" applyBorder="0" applyAlignment="0" applyProtection="0"/>
    <xf numFmtId="0" fontId="24" fillId="0" borderId="3" applyNumberFormat="0" applyFill="0" applyBorder="0" applyAlignment="0" applyProtection="0"/>
    <xf numFmtId="0" fontId="25" fillId="0" borderId="0" applyNumberFormat="0" applyFill="0" applyBorder="0" applyAlignment="0" applyProtection="0"/>
    <xf numFmtId="0" fontId="8" fillId="0" borderId="0" applyNumberFormat="0" applyFill="0" applyBorder="0" applyAlignment="0" applyProtection="0">
      <alignment vertical="top"/>
      <protection locked="0"/>
    </xf>
    <xf numFmtId="0" fontId="63" fillId="41" borderId="117" applyNumberFormat="0" applyAlignment="0">
      <alignment vertical="center"/>
      <protection locked="0" hidden="1"/>
    </xf>
    <xf numFmtId="9" fontId="4" fillId="0" borderId="0" applyFont="0" applyFill="0" applyBorder="0" applyAlignment="0" applyProtection="0"/>
    <xf numFmtId="0" fontId="3" fillId="33" borderId="26" applyNumberFormat="0" applyFont="0">
      <alignment horizontal="left" vertical="center" wrapText="1"/>
      <protection hidden="1"/>
    </xf>
    <xf numFmtId="0" fontId="7" fillId="3" borderId="5" applyNumberFormat="0" applyProtection="0">
      <alignment horizontal="center" wrapText="1"/>
    </xf>
    <xf numFmtId="0" fontId="7" fillId="21" borderId="13" applyNumberFormat="0" applyAlignment="0" applyProtection="0"/>
    <xf numFmtId="0" fontId="27" fillId="8" borderId="0" applyNumberFormat="0" applyBorder="0" applyAlignment="0" applyProtection="0"/>
    <xf numFmtId="0" fontId="28" fillId="9" borderId="0" applyNumberFormat="0" applyBorder="0" applyAlignment="0" applyProtection="0"/>
    <xf numFmtId="0" fontId="29" fillId="10" borderId="0" applyNumberFormat="0" applyBorder="0" applyAlignment="0" applyProtection="0"/>
    <xf numFmtId="0" fontId="30" fillId="0" borderId="6" applyNumberFormat="0" applyFill="0" applyAlignment="0" applyProtection="0"/>
    <xf numFmtId="0" fontId="31" fillId="11" borderId="7" applyNumberFormat="0" applyAlignment="0" applyProtection="0"/>
    <xf numFmtId="0" fontId="7" fillId="28" borderId="15" applyNumberFormat="0">
      <alignment horizontal="center" wrapText="1"/>
      <protection hidden="1"/>
    </xf>
    <xf numFmtId="0" fontId="33" fillId="15" borderId="0" applyNumberFormat="0" applyBorder="0" applyAlignment="0" applyProtection="0"/>
    <xf numFmtId="0" fontId="34" fillId="13" borderId="8" applyNumberFormat="0" applyAlignment="0" applyProtection="0"/>
    <xf numFmtId="0" fontId="35" fillId="14" borderId="0" applyNumberFormat="0" applyBorder="0" applyAlignment="0" applyProtection="0"/>
    <xf numFmtId="0" fontId="36" fillId="0" borderId="9" applyNumberFormat="0" applyFill="0" applyAlignment="0" applyProtection="0"/>
    <xf numFmtId="0" fontId="37" fillId="16" borderId="0" applyNumberFormat="0" applyBorder="0" applyAlignment="0" applyProtection="0"/>
    <xf numFmtId="41" fontId="38" fillId="0" borderId="0" applyFont="0" applyFill="0" applyBorder="0" applyAlignment="0" applyProtection="0"/>
    <xf numFmtId="42" fontId="38" fillId="0" borderId="0" applyFont="0" applyFill="0" applyBorder="0" applyAlignment="0" applyProtection="0"/>
    <xf numFmtId="0" fontId="39" fillId="17" borderId="10" applyNumberFormat="0" applyAlignment="0" applyProtection="0"/>
    <xf numFmtId="0" fontId="40" fillId="18" borderId="11" applyNumberFormat="0" applyAlignment="0" applyProtection="0"/>
    <xf numFmtId="0" fontId="41" fillId="18" borderId="10" applyNumberFormat="0" applyAlignment="0" applyProtection="0"/>
    <xf numFmtId="0" fontId="42" fillId="20" borderId="12" applyNumberFormat="0" applyFont="0" applyAlignment="0" applyProtection="0"/>
    <xf numFmtId="9" fontId="7" fillId="32" borderId="28" applyNumberFormat="0">
      <alignment vertical="center" wrapText="1"/>
    </xf>
    <xf numFmtId="0" fontId="7" fillId="24" borderId="18" applyNumberFormat="0" applyProtection="0">
      <alignment horizontal="center" wrapText="1"/>
    </xf>
    <xf numFmtId="0" fontId="3" fillId="0" borderId="19" applyNumberFormat="0" applyFont="0" applyFill="0" applyAlignment="0" applyProtection="0"/>
    <xf numFmtId="0" fontId="7" fillId="24" borderId="18" applyNumberFormat="0" applyProtection="0">
      <alignment horizontal="center" wrapText="1"/>
    </xf>
    <xf numFmtId="0" fontId="3" fillId="0" borderId="19" applyNumberFormat="0" applyFont="0" applyFill="0" applyAlignment="0" applyProtection="0"/>
    <xf numFmtId="0" fontId="49" fillId="27" borderId="29" applyNumberFormat="0">
      <alignment vertical="center" wrapText="1"/>
      <protection locked="0"/>
    </xf>
    <xf numFmtId="0" fontId="3" fillId="35" borderId="0" applyNumberFormat="0" applyFont="0" applyBorder="0" applyAlignment="0" applyProtection="0"/>
    <xf numFmtId="0" fontId="15" fillId="0" borderId="27" applyNumberFormat="0" applyAlignment="0">
      <alignment vertical="center" wrapText="1"/>
      <protection hidden="1"/>
    </xf>
    <xf numFmtId="0" fontId="71" fillId="0" borderId="0" applyNumberFormat="0" applyFill="0" applyBorder="0" applyAlignment="0" applyProtection="0"/>
    <xf numFmtId="0" fontId="2" fillId="44" borderId="124" applyNumberFormat="0" applyProtection="0">
      <alignment vertical="center" wrapText="1"/>
    </xf>
    <xf numFmtId="0" fontId="76" fillId="47" borderId="165" applyNumberFormat="0" applyAlignment="0">
      <alignment vertical="center" wrapText="1"/>
      <protection locked="0"/>
    </xf>
    <xf numFmtId="0" fontId="1" fillId="0" borderId="0" applyNumberFormat="0" applyFont="0" applyBorder="0" applyAlignment="0">
      <alignment vertical="center"/>
    </xf>
    <xf numFmtId="44" fontId="1" fillId="0" borderId="0" applyFont="0" applyFill="0" applyBorder="0" applyAlignment="0" applyProtection="0"/>
    <xf numFmtId="0" fontId="77" fillId="63" borderId="123" applyNumberFormat="0" applyAlignment="0" applyProtection="0"/>
    <xf numFmtId="0" fontId="78" fillId="0" borderId="0" applyNumberFormat="0" applyFill="0" applyBorder="0" applyProtection="0"/>
    <xf numFmtId="0" fontId="79" fillId="0" borderId="0" applyNumberFormat="0" applyFill="0" applyProtection="0"/>
    <xf numFmtId="0" fontId="83" fillId="0" borderId="0" applyNumberFormat="0" applyFill="0" applyBorder="0" applyProtection="0"/>
    <xf numFmtId="0" fontId="81" fillId="12" borderId="27" applyNumberFormat="0" applyProtection="0">
      <alignment wrapText="1"/>
    </xf>
    <xf numFmtId="0" fontId="80" fillId="61" borderId="179" applyNumberFormat="0">
      <alignment vertical="center" wrapText="1"/>
      <protection locked="0"/>
    </xf>
    <xf numFmtId="0" fontId="85" fillId="0" borderId="0" applyNumberFormat="0" applyFill="0" applyBorder="0" applyAlignment="0" applyProtection="0"/>
    <xf numFmtId="0" fontId="73" fillId="48" borderId="177" applyNumberFormat="0" applyProtection="0">
      <alignment horizontal="center" wrapText="1"/>
    </xf>
    <xf numFmtId="0" fontId="1" fillId="12" borderId="29" applyNumberFormat="0" applyProtection="0">
      <alignment vertical="center" wrapText="1"/>
    </xf>
    <xf numFmtId="0" fontId="1" fillId="49" borderId="18" applyNumberFormat="0" applyProtection="0">
      <alignment horizontal="center" wrapText="1"/>
    </xf>
    <xf numFmtId="0" fontId="73" fillId="45" borderId="167" applyNumberFormat="0" applyProtection="0">
      <alignment horizontal="center" wrapText="1"/>
    </xf>
    <xf numFmtId="0" fontId="1" fillId="46" borderId="172" applyNumberFormat="0" applyProtection="0">
      <alignment vertical="center" wrapText="1"/>
    </xf>
    <xf numFmtId="0" fontId="1" fillId="50" borderId="166" applyNumberFormat="0" applyProtection="0">
      <alignment vertical="center" wrapText="1"/>
    </xf>
    <xf numFmtId="0" fontId="73" fillId="51" borderId="168" applyNumberFormat="0" applyProtection="0">
      <alignment horizontal="center" wrapText="1"/>
    </xf>
    <xf numFmtId="0" fontId="1" fillId="52" borderId="173" applyNumberFormat="0" applyProtection="0">
      <alignment vertical="center" wrapText="1"/>
    </xf>
    <xf numFmtId="0" fontId="73" fillId="53" borderId="169" applyNumberFormat="0" applyProtection="0">
      <alignment horizontal="center" wrapText="1"/>
    </xf>
    <xf numFmtId="0" fontId="1" fillId="54" borderId="174" applyNumberFormat="0" applyProtection="0">
      <alignment vertical="center" wrapText="1"/>
    </xf>
    <xf numFmtId="0" fontId="73" fillId="55" borderId="170" applyNumberFormat="0" applyProtection="0">
      <alignment horizontal="center" wrapText="1"/>
    </xf>
    <xf numFmtId="0" fontId="1" fillId="56" borderId="175" applyNumberFormat="0" applyProtection="0">
      <alignment vertical="center" wrapText="1"/>
    </xf>
    <xf numFmtId="0" fontId="73" fillId="57" borderId="171" applyNumberFormat="0" applyProtection="0">
      <alignment horizontal="center" wrapText="1"/>
    </xf>
    <xf numFmtId="0" fontId="1" fillId="58" borderId="176" applyNumberFormat="0" applyProtection="0">
      <alignment vertical="center" wrapText="1"/>
    </xf>
    <xf numFmtId="0" fontId="86" fillId="28" borderId="182" applyNumberFormat="0" applyProtection="0">
      <alignment horizontal="center" wrapText="1"/>
      <protection hidden="1"/>
    </xf>
    <xf numFmtId="0" fontId="1" fillId="64" borderId="182" applyNumberFormat="0" applyFont="0" applyAlignment="0" applyProtection="0">
      <alignment vertical="center" wrapText="1"/>
    </xf>
    <xf numFmtId="0" fontId="82" fillId="60" borderId="178" applyNumberFormat="0" applyAlignment="0">
      <alignment vertical="center"/>
    </xf>
    <xf numFmtId="9" fontId="1" fillId="0" borderId="0" applyFont="0" applyFill="0" applyBorder="0" applyAlignment="0" applyProtection="0"/>
    <xf numFmtId="43" fontId="1" fillId="0" borderId="0" applyFont="0" applyFill="0" applyBorder="0" applyAlignment="0" applyProtection="0"/>
    <xf numFmtId="0" fontId="84" fillId="59" borderId="0" applyNumberFormat="0" applyFill="0" applyBorder="0" applyAlignment="0" applyProtection="0">
      <alignment vertical="center"/>
    </xf>
    <xf numFmtId="9" fontId="7" fillId="32" borderId="183" applyNumberFormat="0" applyFont="0" applyFill="0" applyAlignment="0" applyProtection="0">
      <alignment vertical="center" wrapText="1"/>
    </xf>
    <xf numFmtId="0" fontId="3" fillId="12" borderId="182" applyNumberFormat="0" applyFont="0" applyAlignment="0" applyProtection="0">
      <alignment horizontal="left" vertical="center" wrapText="1"/>
      <protection hidden="1"/>
    </xf>
    <xf numFmtId="0" fontId="87" fillId="25" borderId="181" applyNumberFormat="0">
      <alignment horizontal="center" vertical="center" wrapText="1"/>
    </xf>
    <xf numFmtId="0" fontId="88" fillId="62" borderId="180" applyNumberFormat="0">
      <alignment horizontal="center" vertical="center"/>
    </xf>
  </cellStyleXfs>
  <cellXfs count="884">
    <xf numFmtId="0" fontId="0" fillId="0" borderId="0" xfId="0"/>
    <xf numFmtId="0" fontId="0" fillId="0" borderId="0" xfId="0"/>
    <xf numFmtId="0" fontId="14" fillId="0" borderId="0" xfId="0" applyFont="1"/>
    <xf numFmtId="0" fontId="23" fillId="0" borderId="0" xfId="6" applyBorder="1"/>
    <xf numFmtId="0" fontId="6" fillId="0" borderId="0" xfId="5" applyBorder="1"/>
    <xf numFmtId="0" fontId="14" fillId="0" borderId="0" xfId="0" applyFont="1"/>
    <xf numFmtId="0" fontId="24" fillId="0" borderId="0" xfId="7" applyBorder="1"/>
    <xf numFmtId="0" fontId="23" fillId="0" borderId="0" xfId="6" applyBorder="1" applyAlignment="1">
      <alignment horizontal="left"/>
    </xf>
    <xf numFmtId="0" fontId="25" fillId="0" borderId="0" xfId="8" applyBorder="1"/>
    <xf numFmtId="0" fontId="6" fillId="0" borderId="0" xfId="0" applyFont="1" applyBorder="1"/>
    <xf numFmtId="0" fontId="0" fillId="0" borderId="0" xfId="0"/>
    <xf numFmtId="0" fontId="18" fillId="0" borderId="0" xfId="0" applyFont="1" applyBorder="1" applyAlignment="1">
      <alignment horizontal="left"/>
    </xf>
    <xf numFmtId="0" fontId="14" fillId="0" borderId="0" xfId="0" applyFont="1"/>
    <xf numFmtId="0" fontId="0" fillId="2" borderId="0" xfId="0" applyFill="1" applyBorder="1"/>
    <xf numFmtId="0" fontId="24" fillId="2" borderId="0" xfId="7" applyFill="1" applyBorder="1"/>
    <xf numFmtId="0" fontId="0" fillId="0" borderId="0" xfId="0"/>
    <xf numFmtId="0" fontId="0" fillId="0" borderId="0" xfId="0" applyAlignment="1"/>
    <xf numFmtId="0" fontId="0" fillId="0" borderId="0" xfId="0"/>
    <xf numFmtId="9" fontId="3" fillId="0" borderId="0" xfId="11" applyFont="1" applyFill="1" applyBorder="1" applyAlignment="1" applyProtection="1"/>
    <xf numFmtId="0" fontId="0" fillId="0" borderId="0" xfId="0"/>
    <xf numFmtId="0" fontId="0" fillId="0" borderId="0" xfId="0"/>
    <xf numFmtId="0" fontId="0" fillId="0" borderId="0" xfId="0"/>
    <xf numFmtId="0" fontId="23" fillId="2" borderId="0" xfId="6" applyFill="1" applyBorder="1"/>
    <xf numFmtId="0" fontId="0" fillId="0" borderId="0" xfId="0"/>
    <xf numFmtId="0" fontId="3" fillId="0" borderId="0" xfId="0" applyFont="1"/>
    <xf numFmtId="0" fontId="0" fillId="0" borderId="0" xfId="0"/>
    <xf numFmtId="0" fontId="24" fillId="0" borderId="0" xfId="7" applyBorder="1" applyAlignment="1">
      <alignment horizontal="left" indent="1"/>
    </xf>
    <xf numFmtId="0" fontId="23" fillId="0" borderId="0" xfId="6" applyBorder="1" applyAlignment="1"/>
    <xf numFmtId="0" fontId="0" fillId="0" borderId="0" xfId="0"/>
    <xf numFmtId="0" fontId="23" fillId="0" borderId="0" xfId="6" applyFill="1" applyBorder="1"/>
    <xf numFmtId="0" fontId="25" fillId="5" borderId="0" xfId="8" applyFill="1" applyBorder="1" applyAlignment="1"/>
    <xf numFmtId="0" fontId="0" fillId="0" borderId="0" xfId="0"/>
    <xf numFmtId="0" fontId="0" fillId="0" borderId="0" xfId="0"/>
    <xf numFmtId="0" fontId="3" fillId="0" borderId="24" xfId="0" applyFont="1" applyBorder="1" applyAlignment="1"/>
    <xf numFmtId="0" fontId="0" fillId="0" borderId="25" xfId="0" applyBorder="1" applyAlignment="1"/>
    <xf numFmtId="9" fontId="45" fillId="21" borderId="14" xfId="11" applyFont="1" applyFill="1" applyBorder="1" applyAlignment="1" applyProtection="1">
      <alignment vertical="center"/>
      <protection locked="0"/>
    </xf>
    <xf numFmtId="0" fontId="3" fillId="33" borderId="26" xfId="12" applyFont="1" applyBorder="1">
      <alignment horizontal="left" vertical="center" wrapText="1"/>
      <protection hidden="1"/>
    </xf>
    <xf numFmtId="0" fontId="46" fillId="0" borderId="0" xfId="0" applyFont="1" applyBorder="1"/>
    <xf numFmtId="0" fontId="7" fillId="33" borderId="26" xfId="12" applyFont="1" applyBorder="1" applyAlignment="1">
      <alignment horizontal="right" vertical="center" wrapText="1"/>
      <protection hidden="1"/>
    </xf>
    <xf numFmtId="0" fontId="7" fillId="33" borderId="26" xfId="12" applyFont="1" applyBorder="1" applyAlignment="1">
      <alignment horizontal="left" vertical="center" wrapText="1"/>
      <protection hidden="1"/>
    </xf>
    <xf numFmtId="0" fontId="47" fillId="0" borderId="0" xfId="0" applyFont="1" applyBorder="1" applyAlignment="1">
      <alignment wrapText="1"/>
    </xf>
    <xf numFmtId="0" fontId="0" fillId="0" borderId="22" xfId="0" applyFill="1" applyBorder="1"/>
    <xf numFmtId="0" fontId="15" fillId="0" borderId="0" xfId="0" applyFont="1" applyFill="1" applyBorder="1"/>
    <xf numFmtId="0" fontId="11" fillId="0" borderId="0" xfId="4" applyFont="1" applyFill="1" applyBorder="1" applyAlignment="1">
      <alignment horizontal="left" vertical="top" wrapText="1"/>
    </xf>
    <xf numFmtId="0" fontId="46" fillId="0" borderId="0" xfId="0" applyFont="1" applyFill="1" applyBorder="1"/>
    <xf numFmtId="0" fontId="14" fillId="0" borderId="0" xfId="0" applyFont="1" applyFill="1" applyBorder="1"/>
    <xf numFmtId="0" fontId="0" fillId="0" borderId="0" xfId="0" applyFont="1" applyFill="1" applyBorder="1"/>
    <xf numFmtId="0" fontId="9" fillId="0" borderId="0" xfId="4" applyFont="1" applyFill="1" applyBorder="1" applyAlignment="1">
      <alignment vertical="top" wrapText="1"/>
    </xf>
    <xf numFmtId="0" fontId="43" fillId="0" borderId="0" xfId="4" applyFont="1" applyBorder="1" applyAlignment="1">
      <alignment horizontal="left" vertical="top" wrapText="1"/>
    </xf>
    <xf numFmtId="0" fontId="7" fillId="0" borderId="0" xfId="0" applyFont="1" applyFill="1" applyBorder="1" applyAlignment="1">
      <alignment wrapText="1"/>
    </xf>
    <xf numFmtId="0" fontId="3" fillId="0" borderId="0" xfId="0" applyFont="1"/>
    <xf numFmtId="0" fontId="3" fillId="0" borderId="0" xfId="0" applyFont="1"/>
    <xf numFmtId="0" fontId="0" fillId="0" borderId="0" xfId="0"/>
    <xf numFmtId="0" fontId="0" fillId="0" borderId="0" xfId="0" applyFill="1" applyBorder="1"/>
    <xf numFmtId="0" fontId="0" fillId="0" borderId="0" xfId="0"/>
    <xf numFmtId="0" fontId="55" fillId="37" borderId="32" xfId="0" applyFont="1" applyFill="1" applyBorder="1"/>
    <xf numFmtId="0" fontId="55" fillId="37" borderId="33" xfId="0" applyFont="1" applyFill="1" applyBorder="1"/>
    <xf numFmtId="0" fontId="56" fillId="36" borderId="33" xfId="0" applyFont="1" applyFill="1" applyBorder="1" applyAlignment="1">
      <alignment horizontal="left" vertical="center" wrapText="1"/>
    </xf>
    <xf numFmtId="165" fontId="26" fillId="26" borderId="35" xfId="3" applyNumberFormat="1" applyFont="1" applyBorder="1">
      <alignment vertical="center" wrapText="1"/>
    </xf>
    <xf numFmtId="0" fontId="0" fillId="0" borderId="0" xfId="0"/>
    <xf numFmtId="9" fontId="3" fillId="26" borderId="27" xfId="11" applyFont="1" applyFill="1" applyBorder="1" applyAlignment="1">
      <alignment vertical="center" wrapText="1"/>
    </xf>
    <xf numFmtId="41" fontId="3" fillId="26" borderId="27" xfId="1" applyFont="1" applyFill="1" applyBorder="1" applyAlignment="1">
      <alignment vertical="center" wrapText="1"/>
    </xf>
    <xf numFmtId="41" fontId="7" fillId="32" borderId="28" xfId="1" applyFont="1" applyFill="1" applyBorder="1" applyAlignment="1">
      <alignment vertical="center" wrapText="1"/>
    </xf>
    <xf numFmtId="41" fontId="3" fillId="26" borderId="30" xfId="1" applyFont="1" applyFill="1" applyBorder="1" applyAlignment="1">
      <alignment vertical="center" wrapText="1"/>
    </xf>
    <xf numFmtId="0" fontId="3" fillId="6" borderId="0" xfId="0" applyFont="1" applyFill="1" applyBorder="1"/>
    <xf numFmtId="0" fontId="47" fillId="0" borderId="0" xfId="0" applyFont="1" applyBorder="1" applyAlignment="1"/>
    <xf numFmtId="9" fontId="3" fillId="26" borderId="27" xfId="11" applyFont="1" applyFill="1" applyBorder="1" applyAlignment="1" applyProtection="1">
      <alignment vertical="center" wrapText="1"/>
      <protection hidden="1"/>
    </xf>
    <xf numFmtId="0" fontId="24" fillId="34" borderId="0" xfId="7" applyFill="1" applyBorder="1"/>
    <xf numFmtId="41" fontId="7" fillId="26" borderId="27" xfId="1" applyFont="1" applyFill="1" applyBorder="1" applyAlignment="1">
      <alignment vertical="center" wrapText="1"/>
    </xf>
    <xf numFmtId="9" fontId="7" fillId="32" borderId="28" xfId="11" applyFont="1" applyFill="1" applyBorder="1" applyAlignment="1">
      <alignment vertical="center" wrapText="1"/>
    </xf>
    <xf numFmtId="4" fontId="5" fillId="26" borderId="27" xfId="1" applyNumberFormat="1" applyFill="1" applyBorder="1" applyAlignment="1" applyProtection="1">
      <alignment vertical="center" wrapText="1"/>
      <protection hidden="1"/>
    </xf>
    <xf numFmtId="4" fontId="3" fillId="26" borderId="27" xfId="1" applyNumberFormat="1" applyFont="1" applyFill="1" applyBorder="1" applyAlignment="1">
      <alignment vertical="center" wrapText="1"/>
    </xf>
    <xf numFmtId="4" fontId="7" fillId="32" borderId="28" xfId="1" applyNumberFormat="1" applyFont="1" applyFill="1" applyBorder="1" applyAlignment="1">
      <alignment vertical="center" wrapText="1"/>
    </xf>
    <xf numFmtId="167" fontId="45" fillId="21" borderId="14" xfId="1" applyNumberFormat="1" applyFont="1" applyFill="1" applyBorder="1" applyAlignment="1" applyProtection="1">
      <alignment vertical="center"/>
      <protection locked="0"/>
    </xf>
    <xf numFmtId="165" fontId="3" fillId="26" borderId="27" xfId="11" applyNumberFormat="1" applyFont="1" applyFill="1" applyBorder="1" applyAlignment="1">
      <alignment vertical="center" wrapText="1"/>
    </xf>
    <xf numFmtId="0" fontId="0" fillId="0" borderId="0" xfId="0"/>
    <xf numFmtId="0" fontId="3" fillId="0" borderId="0" xfId="0" applyFont="1"/>
    <xf numFmtId="0" fontId="3" fillId="0" borderId="0" xfId="0" applyFont="1" applyFill="1" applyBorder="1"/>
    <xf numFmtId="0" fontId="7" fillId="0" borderId="0" xfId="0" applyFont="1" applyBorder="1" applyAlignment="1">
      <alignment vertical="center" wrapText="1"/>
    </xf>
    <xf numFmtId="0" fontId="7" fillId="28" borderId="40" xfId="20" applyBorder="1">
      <alignment horizontal="center" wrapText="1"/>
      <protection hidden="1"/>
    </xf>
    <xf numFmtId="0" fontId="18" fillId="26" borderId="41" xfId="3" applyNumberFormat="1" applyFont="1" applyBorder="1">
      <alignment vertical="center" wrapText="1"/>
    </xf>
    <xf numFmtId="0" fontId="0" fillId="40" borderId="0" xfId="0" applyFill="1" applyBorder="1"/>
    <xf numFmtId="0" fontId="15" fillId="40" borderId="0" xfId="0" applyFont="1" applyFill="1" applyBorder="1" applyAlignment="1">
      <alignment horizontal="right"/>
    </xf>
    <xf numFmtId="0" fontId="57" fillId="40" borderId="0" xfId="0" applyFont="1" applyFill="1" applyBorder="1" applyAlignment="1">
      <alignment horizontal="left" indent="1"/>
    </xf>
    <xf numFmtId="0" fontId="3" fillId="40" borderId="0" xfId="0" applyFont="1" applyFill="1" applyBorder="1" applyAlignment="1">
      <alignment vertical="center"/>
    </xf>
    <xf numFmtId="0" fontId="3" fillId="40" borderId="0" xfId="0" applyFont="1" applyFill="1" applyBorder="1"/>
    <xf numFmtId="0" fontId="7" fillId="40" borderId="0" xfId="0" applyFont="1" applyFill="1" applyBorder="1" applyAlignment="1">
      <alignment horizontal="left" vertical="center" wrapText="1" indent="7"/>
    </xf>
    <xf numFmtId="0" fontId="7" fillId="33" borderId="42" xfId="12" applyFont="1" applyBorder="1" applyAlignment="1">
      <alignment vertical="center" wrapText="1"/>
      <protection hidden="1"/>
    </xf>
    <xf numFmtId="0" fontId="7" fillId="33" borderId="43" xfId="12" applyFont="1" applyBorder="1" applyAlignment="1">
      <alignment vertical="center" wrapText="1"/>
      <protection hidden="1"/>
    </xf>
    <xf numFmtId="165" fontId="3" fillId="26" borderId="27" xfId="11" applyNumberFormat="1" applyFont="1" applyFill="1" applyBorder="1" applyAlignment="1" applyProtection="1">
      <alignment vertical="center" wrapText="1"/>
      <protection locked="0"/>
    </xf>
    <xf numFmtId="0" fontId="7" fillId="33" borderId="42" xfId="12" applyFont="1" applyBorder="1" applyAlignment="1">
      <alignment vertical="center"/>
      <protection hidden="1"/>
    </xf>
    <xf numFmtId="165" fontId="3" fillId="32" borderId="28" xfId="11" applyNumberFormat="1" applyFont="1" applyFill="1" applyBorder="1" applyAlignment="1">
      <alignment vertical="center" wrapText="1"/>
    </xf>
    <xf numFmtId="166" fontId="3" fillId="26" borderId="27" xfId="1" applyNumberFormat="1" applyFont="1" applyFill="1" applyBorder="1" applyAlignment="1">
      <alignment vertical="center" wrapText="1"/>
    </xf>
    <xf numFmtId="166" fontId="3" fillId="32" borderId="28" xfId="1" applyNumberFormat="1" applyFont="1" applyFill="1" applyBorder="1" applyAlignment="1">
      <alignment vertical="center" wrapText="1"/>
    </xf>
    <xf numFmtId="165" fontId="7" fillId="32" borderId="28" xfId="11" applyNumberFormat="1" applyFont="1" applyFill="1" applyBorder="1" applyAlignment="1">
      <alignment vertical="center" wrapText="1"/>
    </xf>
    <xf numFmtId="10" fontId="7" fillId="32" borderId="28" xfId="11" applyNumberFormat="1" applyFont="1" applyFill="1" applyBorder="1" applyAlignment="1">
      <alignment vertical="center" wrapText="1"/>
    </xf>
    <xf numFmtId="165" fontId="45" fillId="21" borderId="14" xfId="11" applyNumberFormat="1" applyFont="1" applyFill="1" applyBorder="1" applyAlignment="1" applyProtection="1">
      <alignment vertical="center"/>
      <protection locked="0"/>
    </xf>
    <xf numFmtId="0" fontId="24" fillId="0" borderId="0" xfId="7" applyFill="1" applyBorder="1" applyAlignment="1">
      <alignment vertical="center"/>
    </xf>
    <xf numFmtId="0" fontId="7" fillId="28" borderId="47" xfId="20" applyBorder="1" applyAlignment="1">
      <alignment horizontal="left"/>
      <protection hidden="1"/>
    </xf>
    <xf numFmtId="0" fontId="3" fillId="33" borderId="49" xfId="12" applyFont="1" applyBorder="1">
      <alignment horizontal="left" vertical="center" wrapText="1"/>
      <protection hidden="1"/>
    </xf>
    <xf numFmtId="0" fontId="3" fillId="34" borderId="0" xfId="0" applyFont="1" applyFill="1" applyBorder="1"/>
    <xf numFmtId="0" fontId="3" fillId="26" borderId="0" xfId="3" applyNumberFormat="1" applyBorder="1" applyAlignment="1">
      <alignment vertical="center"/>
    </xf>
    <xf numFmtId="0" fontId="3" fillId="0" borderId="0" xfId="0" applyFont="1" applyBorder="1" applyAlignment="1">
      <alignment horizontal="right" vertical="center" wrapText="1" indent="1"/>
    </xf>
    <xf numFmtId="14" fontId="0" fillId="33" borderId="26" xfId="12" applyNumberFormat="1" applyFont="1" applyBorder="1" applyAlignment="1">
      <alignment horizontal="right" vertical="center" wrapText="1" indent="1"/>
      <protection hidden="1"/>
    </xf>
    <xf numFmtId="167" fontId="3" fillId="26" borderId="27" xfId="3" applyNumberFormat="1" applyBorder="1">
      <alignment vertical="center" wrapText="1"/>
    </xf>
    <xf numFmtId="0" fontId="0" fillId="0" borderId="0" xfId="0"/>
    <xf numFmtId="0" fontId="7" fillId="34" borderId="15" xfId="20" applyFill="1" applyBorder="1">
      <alignment horizontal="center" wrapText="1"/>
      <protection hidden="1"/>
    </xf>
    <xf numFmtId="0" fontId="3" fillId="26" borderId="27" xfId="3" applyNumberFormat="1" applyBorder="1">
      <alignment vertical="center" wrapText="1"/>
    </xf>
    <xf numFmtId="0" fontId="7" fillId="0" borderId="0" xfId="0" applyFont="1" applyBorder="1"/>
    <xf numFmtId="9" fontId="3" fillId="26" borderId="52" xfId="11" applyFont="1" applyFill="1" applyBorder="1" applyAlignment="1">
      <alignment vertical="center" wrapText="1"/>
    </xf>
    <xf numFmtId="41" fontId="15" fillId="26" borderId="30" xfId="3" applyNumberFormat="1" applyFont="1" applyBorder="1" applyAlignment="1">
      <alignment vertical="center"/>
    </xf>
    <xf numFmtId="41" fontId="15" fillId="26" borderId="52" xfId="3" applyNumberFormat="1" applyFont="1" applyBorder="1" applyAlignment="1">
      <alignment vertical="center"/>
    </xf>
    <xf numFmtId="41" fontId="15" fillId="26" borderId="53" xfId="3" applyNumberFormat="1" applyFont="1" applyBorder="1" applyAlignment="1">
      <alignment vertical="center"/>
    </xf>
    <xf numFmtId="0" fontId="3" fillId="26" borderId="50" xfId="3" applyNumberFormat="1" applyBorder="1" applyAlignment="1">
      <alignment vertical="center"/>
    </xf>
    <xf numFmtId="9" fontId="15" fillId="23" borderId="60" xfId="11" applyFont="1" applyFill="1" applyBorder="1" applyAlignment="1">
      <alignment vertical="center" wrapText="1"/>
    </xf>
    <xf numFmtId="9" fontId="15" fillId="26" borderId="4" xfId="11" applyFont="1" applyFill="1" applyBorder="1" applyAlignment="1">
      <alignment vertical="center" wrapText="1"/>
    </xf>
    <xf numFmtId="0" fontId="3" fillId="0" borderId="59" xfId="0" applyFont="1" applyBorder="1"/>
    <xf numFmtId="9" fontId="3" fillId="0" borderId="58" xfId="11" applyFont="1" applyBorder="1"/>
    <xf numFmtId="9" fontId="15" fillId="0" borderId="4" xfId="11" applyFont="1" applyBorder="1"/>
    <xf numFmtId="9" fontId="53" fillId="26" borderId="4" xfId="11" applyFont="1" applyFill="1" applyBorder="1" applyAlignment="1">
      <alignment vertical="center" wrapText="1"/>
    </xf>
    <xf numFmtId="9" fontId="53" fillId="0" borderId="4" xfId="11" applyFont="1" applyBorder="1"/>
    <xf numFmtId="0" fontId="24" fillId="0" borderId="0" xfId="7" applyFill="1" applyBorder="1" applyAlignment="1"/>
    <xf numFmtId="0" fontId="0" fillId="0" borderId="0" xfId="0"/>
    <xf numFmtId="0" fontId="3" fillId="0" borderId="0" xfId="0" applyFont="1"/>
    <xf numFmtId="0" fontId="7" fillId="40" borderId="0" xfId="0" applyFont="1" applyFill="1" applyBorder="1" applyAlignment="1">
      <alignment vertical="center"/>
    </xf>
    <xf numFmtId="168" fontId="15" fillId="26" borderId="52" xfId="3" applyNumberFormat="1" applyFont="1" applyBorder="1" applyAlignment="1">
      <alignment vertical="center"/>
    </xf>
    <xf numFmtId="9" fontId="3" fillId="26" borderId="31" xfId="3" applyBorder="1">
      <alignment vertical="center" wrapText="1"/>
    </xf>
    <xf numFmtId="167" fontId="3" fillId="26" borderId="31" xfId="3" applyNumberFormat="1" applyBorder="1">
      <alignment vertical="center" wrapText="1"/>
    </xf>
    <xf numFmtId="9" fontId="3" fillId="26" borderId="30" xfId="3" applyNumberFormat="1" applyBorder="1">
      <alignment vertical="center" wrapText="1"/>
    </xf>
    <xf numFmtId="0" fontId="8" fillId="0" borderId="0" xfId="9" applyBorder="1" applyAlignment="1" applyProtection="1"/>
    <xf numFmtId="0" fontId="3" fillId="33" borderId="42" xfId="12" applyFont="1" applyBorder="1">
      <alignment horizontal="left" vertical="center" wrapText="1"/>
      <protection hidden="1"/>
    </xf>
    <xf numFmtId="41" fontId="3" fillId="26" borderId="31" xfId="3" applyNumberFormat="1" applyBorder="1">
      <alignment vertical="center" wrapText="1"/>
    </xf>
    <xf numFmtId="0" fontId="7" fillId="28" borderId="47" xfId="20" applyFont="1" applyBorder="1">
      <alignment horizontal="center" wrapText="1"/>
      <protection hidden="1"/>
    </xf>
    <xf numFmtId="9" fontId="3" fillId="26" borderId="50" xfId="3" applyBorder="1">
      <alignment vertical="center" wrapText="1"/>
    </xf>
    <xf numFmtId="9" fontId="3" fillId="26" borderId="31" xfId="3" applyNumberFormat="1" applyBorder="1">
      <alignment vertical="center" wrapText="1"/>
    </xf>
    <xf numFmtId="0" fontId="7" fillId="33" borderId="68" xfId="12" applyNumberFormat="1" applyFont="1" applyBorder="1">
      <alignment horizontal="left" vertical="center" wrapText="1"/>
      <protection hidden="1"/>
    </xf>
    <xf numFmtId="41" fontId="7" fillId="32" borderId="70" xfId="32" applyNumberFormat="1" applyBorder="1">
      <alignment vertical="center" wrapText="1"/>
    </xf>
    <xf numFmtId="1" fontId="3" fillId="26" borderId="63" xfId="3" applyNumberFormat="1" applyBorder="1">
      <alignment vertical="center" wrapText="1"/>
    </xf>
    <xf numFmtId="164" fontId="3" fillId="26" borderId="50" xfId="3" applyNumberFormat="1" applyBorder="1">
      <alignment vertical="center" wrapText="1"/>
    </xf>
    <xf numFmtId="164" fontId="3" fillId="26" borderId="35" xfId="3" applyNumberFormat="1" applyBorder="1">
      <alignment vertical="center" wrapText="1"/>
    </xf>
    <xf numFmtId="0" fontId="15" fillId="26" borderId="30" xfId="3" applyNumberFormat="1" applyFont="1" applyBorder="1" applyAlignment="1">
      <alignment vertical="center" wrapText="1"/>
    </xf>
    <xf numFmtId="9" fontId="3" fillId="26" borderId="50" xfId="3" applyNumberFormat="1" applyBorder="1">
      <alignment vertical="center" wrapText="1"/>
    </xf>
    <xf numFmtId="9" fontId="3" fillId="26" borderId="35" xfId="3" applyNumberFormat="1" applyBorder="1">
      <alignment vertical="center" wrapText="1"/>
    </xf>
    <xf numFmtId="165" fontId="3" fillId="32" borderId="50" xfId="11" applyNumberFormat="1" applyFont="1" applyFill="1" applyBorder="1" applyAlignment="1">
      <alignment vertical="center" wrapText="1"/>
    </xf>
    <xf numFmtId="166" fontId="3" fillId="26" borderId="31" xfId="1" applyNumberFormat="1" applyFont="1" applyFill="1" applyBorder="1" applyAlignment="1">
      <alignment vertical="center" wrapText="1"/>
    </xf>
    <xf numFmtId="166" fontId="3" fillId="26" borderId="30" xfId="1" applyNumberFormat="1" applyFont="1" applyFill="1" applyBorder="1" applyAlignment="1">
      <alignment vertical="center" wrapText="1"/>
    </xf>
    <xf numFmtId="0" fontId="14" fillId="0" borderId="0" xfId="0" applyFont="1" applyBorder="1"/>
    <xf numFmtId="0" fontId="14" fillId="0" borderId="0" xfId="0" applyFont="1" applyBorder="1" applyAlignment="1"/>
    <xf numFmtId="0" fontId="22" fillId="0" borderId="0" xfId="4" applyBorder="1"/>
    <xf numFmtId="165" fontId="3" fillId="26" borderId="27" xfId="3" applyNumberFormat="1" applyBorder="1">
      <alignment vertical="center" wrapText="1"/>
    </xf>
    <xf numFmtId="0" fontId="15" fillId="26" borderId="27" xfId="3" applyNumberFormat="1" applyFont="1" applyBorder="1" applyAlignment="1">
      <alignment vertical="center" wrapText="1"/>
    </xf>
    <xf numFmtId="0" fontId="7" fillId="32" borderId="28" xfId="32" applyNumberFormat="1" applyBorder="1" applyAlignment="1" applyProtection="1">
      <alignment vertical="center" wrapText="1"/>
      <protection hidden="1"/>
    </xf>
    <xf numFmtId="9" fontId="3" fillId="32" borderId="28" xfId="32" applyFont="1" applyBorder="1">
      <alignment vertical="center" wrapText="1"/>
    </xf>
    <xf numFmtId="0" fontId="7" fillId="0" borderId="0" xfId="0" applyFont="1" applyBorder="1" applyAlignment="1">
      <alignment wrapText="1"/>
    </xf>
    <xf numFmtId="9" fontId="3" fillId="26" borderId="27" xfId="3" applyNumberFormat="1" applyBorder="1">
      <alignment vertical="center" wrapText="1"/>
    </xf>
    <xf numFmtId="0" fontId="7" fillId="32" borderId="28" xfId="32" applyNumberFormat="1" applyBorder="1" applyAlignment="1" applyProtection="1">
      <alignment vertical="center"/>
      <protection hidden="1"/>
    </xf>
    <xf numFmtId="166" fontId="3" fillId="26" borderId="31" xfId="3" applyNumberFormat="1" applyBorder="1">
      <alignment vertical="center" wrapText="1"/>
    </xf>
    <xf numFmtId="165" fontId="3" fillId="26" borderId="50" xfId="3" applyNumberFormat="1" applyBorder="1">
      <alignment vertical="center" wrapText="1"/>
    </xf>
    <xf numFmtId="43" fontId="3" fillId="26" borderId="73" xfId="3" applyNumberFormat="1" applyBorder="1">
      <alignment vertical="center" wrapText="1"/>
    </xf>
    <xf numFmtId="2" fontId="3" fillId="26" borderId="31" xfId="3" applyNumberFormat="1" applyBorder="1">
      <alignment vertical="center" wrapText="1"/>
    </xf>
    <xf numFmtId="2" fontId="3" fillId="26" borderId="30" xfId="3" applyNumberFormat="1" applyBorder="1">
      <alignment vertical="center" wrapText="1"/>
    </xf>
    <xf numFmtId="2" fontId="3" fillId="26" borderId="78" xfId="3" applyNumberFormat="1" applyBorder="1">
      <alignment vertical="center" wrapText="1"/>
    </xf>
    <xf numFmtId="2" fontId="3" fillId="26" borderId="72" xfId="3" applyNumberFormat="1" applyBorder="1">
      <alignment vertical="center" wrapText="1"/>
    </xf>
    <xf numFmtId="0" fontId="13" fillId="33" borderId="79" xfId="12" applyNumberFormat="1" applyFont="1" applyBorder="1">
      <alignment horizontal="left" vertical="center" wrapText="1"/>
      <protection hidden="1"/>
    </xf>
    <xf numFmtId="167" fontId="3" fillId="26" borderId="30" xfId="3" applyNumberFormat="1" applyBorder="1">
      <alignment vertical="center" wrapText="1"/>
    </xf>
    <xf numFmtId="9" fontId="7" fillId="32" borderId="50" xfId="32" applyNumberFormat="1" applyBorder="1">
      <alignment vertical="center" wrapText="1"/>
    </xf>
    <xf numFmtId="2" fontId="7" fillId="32" borderId="70" xfId="32" applyNumberFormat="1" applyBorder="1">
      <alignment vertical="center" wrapText="1"/>
    </xf>
    <xf numFmtId="165" fontId="7" fillId="32" borderId="50" xfId="32" applyNumberFormat="1" applyBorder="1">
      <alignment vertical="center" wrapText="1"/>
    </xf>
    <xf numFmtId="9" fontId="7" fillId="32" borderId="77" xfId="32" applyBorder="1">
      <alignment vertical="center" wrapText="1"/>
    </xf>
    <xf numFmtId="9" fontId="3" fillId="26" borderId="76" xfId="3" applyNumberFormat="1" applyBorder="1">
      <alignment vertical="center" wrapText="1"/>
    </xf>
    <xf numFmtId="41" fontId="3" fillId="26" borderId="31" xfId="1" applyFont="1" applyFill="1" applyBorder="1" applyAlignment="1">
      <alignment vertical="center" wrapText="1"/>
    </xf>
    <xf numFmtId="9" fontId="3" fillId="26" borderId="27" xfId="3" applyBorder="1">
      <alignment vertical="center" wrapText="1"/>
    </xf>
    <xf numFmtId="0" fontId="0" fillId="0" borderId="64" xfId="0" applyBorder="1"/>
    <xf numFmtId="9" fontId="3" fillId="26" borderId="69" xfId="3" applyBorder="1">
      <alignment vertical="center" wrapText="1"/>
    </xf>
    <xf numFmtId="0" fontId="3" fillId="7" borderId="0" xfId="0" quotePrefix="1" applyFont="1" applyFill="1" applyBorder="1" applyAlignment="1">
      <alignment wrapText="1"/>
    </xf>
    <xf numFmtId="0" fontId="0" fillId="0" borderId="0" xfId="0" applyBorder="1" applyAlignment="1">
      <alignment vertical="center"/>
    </xf>
    <xf numFmtId="0" fontId="15" fillId="0" borderId="0" xfId="0" applyFont="1" applyBorder="1"/>
    <xf numFmtId="167" fontId="3" fillId="19" borderId="27" xfId="3" applyNumberFormat="1" applyFill="1" applyBorder="1">
      <alignment vertical="center" wrapText="1"/>
    </xf>
    <xf numFmtId="9" fontId="3" fillId="26" borderId="27" xfId="3" applyNumberFormat="1" applyBorder="1" applyProtection="1">
      <alignment vertical="center" wrapText="1"/>
      <protection hidden="1"/>
    </xf>
    <xf numFmtId="9" fontId="7" fillId="32" borderId="28" xfId="32" applyNumberFormat="1" applyBorder="1">
      <alignment vertical="center" wrapText="1"/>
    </xf>
    <xf numFmtId="0" fontId="46" fillId="34" borderId="0" xfId="0" applyFont="1" applyFill="1" applyBorder="1"/>
    <xf numFmtId="0" fontId="3" fillId="26" borderId="27" xfId="3" applyNumberFormat="1" applyBorder="1" applyAlignment="1">
      <alignment vertical="center"/>
    </xf>
    <xf numFmtId="0" fontId="59" fillId="0" borderId="0" xfId="0" applyFont="1" applyBorder="1"/>
    <xf numFmtId="0" fontId="0" fillId="34" borderId="0" xfId="0" applyFill="1" applyBorder="1"/>
    <xf numFmtId="1" fontId="3" fillId="26" borderId="27" xfId="3" applyNumberFormat="1" applyBorder="1" applyAlignment="1" applyProtection="1">
      <alignment vertical="center"/>
      <protection hidden="1"/>
    </xf>
    <xf numFmtId="1" fontId="3" fillId="26" borderId="27" xfId="3" applyNumberFormat="1" applyBorder="1" applyProtection="1">
      <alignment vertical="center" wrapText="1"/>
      <protection hidden="1"/>
    </xf>
    <xf numFmtId="0" fontId="3" fillId="28" borderId="15" xfId="20" applyFont="1" applyBorder="1" applyAlignment="1">
      <alignment horizontal="left"/>
      <protection hidden="1"/>
    </xf>
    <xf numFmtId="2" fontId="3" fillId="26" borderId="27" xfId="3" applyNumberFormat="1" applyBorder="1" applyProtection="1">
      <alignment vertical="center" wrapText="1"/>
      <protection hidden="1"/>
    </xf>
    <xf numFmtId="0" fontId="3" fillId="33" borderId="79" xfId="12" applyFont="1" applyBorder="1">
      <alignment horizontal="left" vertical="center" wrapText="1"/>
      <protection hidden="1"/>
    </xf>
    <xf numFmtId="9" fontId="3" fillId="26" borderId="30" xfId="3" applyBorder="1">
      <alignment vertical="center" wrapText="1"/>
    </xf>
    <xf numFmtId="9" fontId="3" fillId="26" borderId="63" xfId="3" applyBorder="1">
      <alignment vertical="center" wrapText="1"/>
    </xf>
    <xf numFmtId="0" fontId="3" fillId="33" borderId="88" xfId="12" applyFont="1" applyBorder="1">
      <alignment horizontal="left" vertical="center" wrapText="1"/>
      <protection hidden="1"/>
    </xf>
    <xf numFmtId="0" fontId="18" fillId="26" borderId="89" xfId="3" applyNumberFormat="1" applyFont="1" applyBorder="1">
      <alignment vertical="center" wrapText="1"/>
    </xf>
    <xf numFmtId="0" fontId="7" fillId="33" borderId="90" xfId="12" applyFont="1" applyBorder="1">
      <alignment horizontal="left" vertical="center" wrapText="1"/>
      <protection hidden="1"/>
    </xf>
    <xf numFmtId="0" fontId="18" fillId="26" borderId="91" xfId="3" applyNumberFormat="1" applyFont="1" applyBorder="1">
      <alignment vertical="center" wrapText="1"/>
    </xf>
    <xf numFmtId="0" fontId="18" fillId="26" borderId="92" xfId="3" applyNumberFormat="1" applyFont="1" applyBorder="1">
      <alignment vertical="center" wrapText="1"/>
    </xf>
    <xf numFmtId="0" fontId="7" fillId="28" borderId="93" xfId="20" applyBorder="1">
      <alignment horizontal="center" wrapText="1"/>
      <protection hidden="1"/>
    </xf>
    <xf numFmtId="0" fontId="18" fillId="26" borderId="94" xfId="3" applyNumberFormat="1" applyFont="1" applyBorder="1">
      <alignment vertical="center" wrapText="1"/>
    </xf>
    <xf numFmtId="0" fontId="7" fillId="33" borderId="95" xfId="12" applyNumberFormat="1" applyFont="1" applyBorder="1">
      <alignment horizontal="left" vertical="center" wrapText="1"/>
      <protection hidden="1"/>
    </xf>
    <xf numFmtId="167" fontId="3" fillId="26" borderId="69" xfId="3" applyNumberFormat="1" applyBorder="1">
      <alignment vertical="center" wrapText="1"/>
    </xf>
    <xf numFmtId="1" fontId="3" fillId="26" borderId="86" xfId="3" applyNumberFormat="1" applyBorder="1">
      <alignment vertical="center" wrapText="1"/>
    </xf>
    <xf numFmtId="164" fontId="3" fillId="26" borderId="65" xfId="3" applyNumberFormat="1" applyBorder="1">
      <alignment vertical="center" wrapText="1"/>
    </xf>
    <xf numFmtId="0" fontId="3" fillId="26" borderId="31" xfId="3" applyNumberFormat="1" applyBorder="1" applyAlignment="1">
      <alignment vertical="center"/>
    </xf>
    <xf numFmtId="0" fontId="3" fillId="26" borderId="69" xfId="3" applyNumberFormat="1" applyBorder="1" applyAlignment="1">
      <alignment vertical="center"/>
    </xf>
    <xf numFmtId="0" fontId="0" fillId="0" borderId="0" xfId="0" applyFont="1" applyBorder="1"/>
    <xf numFmtId="0" fontId="25" fillId="0" borderId="0" xfId="8" applyBorder="1" applyAlignment="1">
      <alignment horizontal="left" indent="1"/>
    </xf>
    <xf numFmtId="0" fontId="14" fillId="2" borderId="0" xfId="0" applyFont="1" applyFill="1" applyBorder="1"/>
    <xf numFmtId="0" fontId="16" fillId="0" borderId="0" xfId="0" applyFont="1" applyBorder="1"/>
    <xf numFmtId="0" fontId="13" fillId="0" borderId="0" xfId="0" applyFont="1" applyBorder="1"/>
    <xf numFmtId="1" fontId="14" fillId="0" borderId="0" xfId="0" applyNumberFormat="1" applyFont="1" applyBorder="1"/>
    <xf numFmtId="0" fontId="3" fillId="26" borderId="73" xfId="3" applyNumberFormat="1" applyBorder="1" applyAlignment="1">
      <alignment vertical="center"/>
    </xf>
    <xf numFmtId="0" fontId="22" fillId="0" borderId="98" xfId="4" applyBorder="1"/>
    <xf numFmtId="164" fontId="3" fillId="26" borderId="69" xfId="3" applyNumberFormat="1" applyBorder="1">
      <alignment vertical="center" wrapText="1"/>
    </xf>
    <xf numFmtId="43" fontId="3" fillId="26" borderId="78" xfId="3" applyNumberFormat="1" applyBorder="1">
      <alignment vertical="center" wrapText="1"/>
    </xf>
    <xf numFmtId="164" fontId="3" fillId="26" borderId="99" xfId="3" applyNumberFormat="1" applyBorder="1">
      <alignment vertical="center" wrapText="1"/>
    </xf>
    <xf numFmtId="0" fontId="7" fillId="33" borderId="68" xfId="12" applyNumberFormat="1" applyFont="1" applyBorder="1" applyAlignment="1">
      <alignment vertical="center" wrapText="1"/>
      <protection hidden="1"/>
    </xf>
    <xf numFmtId="0" fontId="20" fillId="0" borderId="0" xfId="0" applyFont="1" applyBorder="1"/>
    <xf numFmtId="0" fontId="7" fillId="33" borderId="26" xfId="12" applyNumberFormat="1" applyFont="1" applyBorder="1" applyAlignment="1">
      <alignment vertical="center" wrapText="1"/>
      <protection hidden="1"/>
    </xf>
    <xf numFmtId="0" fontId="19" fillId="0" borderId="0" xfId="0" applyFont="1" applyBorder="1"/>
    <xf numFmtId="0" fontId="21" fillId="0" borderId="0" xfId="0" applyFont="1" applyBorder="1"/>
    <xf numFmtId="0" fontId="32" fillId="0" borderId="0" xfId="0" applyFont="1" applyBorder="1" applyAlignment="1">
      <alignment horizontal="left" readingOrder="1"/>
    </xf>
    <xf numFmtId="0" fontId="10" fillId="0" borderId="0" xfId="0" applyFont="1" applyBorder="1"/>
    <xf numFmtId="0" fontId="3" fillId="0" borderId="86" xfId="0" applyFont="1" applyBorder="1"/>
    <xf numFmtId="0" fontId="7" fillId="28" borderId="46" xfId="20" applyBorder="1">
      <alignment horizontal="center" wrapText="1"/>
      <protection hidden="1"/>
    </xf>
    <xf numFmtId="2" fontId="7" fillId="32" borderId="77" xfId="32" applyNumberFormat="1" applyBorder="1">
      <alignment vertical="center" wrapText="1"/>
    </xf>
    <xf numFmtId="167" fontId="7" fillId="32" borderId="77" xfId="32" applyNumberFormat="1" applyBorder="1">
      <alignment vertical="center" wrapText="1"/>
    </xf>
    <xf numFmtId="0" fontId="3" fillId="33" borderId="84" xfId="12" applyFont="1" applyBorder="1">
      <alignment horizontal="left" vertical="center" wrapText="1"/>
      <protection hidden="1"/>
    </xf>
    <xf numFmtId="0" fontId="48" fillId="28" borderId="81" xfId="20" applyFont="1" applyBorder="1">
      <alignment horizontal="center" wrapText="1"/>
      <protection hidden="1"/>
    </xf>
    <xf numFmtId="0" fontId="48" fillId="28" borderId="16" xfId="20" applyFont="1" applyBorder="1">
      <alignment horizontal="center" wrapText="1"/>
      <protection hidden="1"/>
    </xf>
    <xf numFmtId="167" fontId="7" fillId="32" borderId="28" xfId="32" applyNumberFormat="1" applyBorder="1">
      <alignment vertical="center" wrapText="1"/>
    </xf>
    <xf numFmtId="2" fontId="7" fillId="32" borderId="28" xfId="32" applyNumberFormat="1" applyBorder="1">
      <alignment vertical="center" wrapText="1"/>
    </xf>
    <xf numFmtId="2" fontId="0" fillId="0" borderId="0" xfId="0" applyNumberFormat="1" applyBorder="1"/>
    <xf numFmtId="2" fontId="3" fillId="26" borderId="27" xfId="3" applyNumberFormat="1" applyBorder="1">
      <alignment vertical="center" wrapText="1"/>
    </xf>
    <xf numFmtId="9" fontId="7" fillId="32" borderId="28" xfId="32" applyBorder="1">
      <alignment vertical="center" wrapText="1"/>
    </xf>
    <xf numFmtId="167" fontId="0" fillId="0" borderId="0" xfId="0" applyNumberFormat="1" applyBorder="1"/>
    <xf numFmtId="165" fontId="7" fillId="32" borderId="28" xfId="32" applyNumberFormat="1" applyBorder="1">
      <alignment vertical="center" wrapText="1"/>
    </xf>
    <xf numFmtId="0" fontId="18" fillId="0" borderId="0" xfId="0" applyFont="1" applyBorder="1"/>
    <xf numFmtId="0" fontId="7" fillId="33" borderId="79" xfId="12" applyFont="1" applyBorder="1">
      <alignment horizontal="left" vertical="center" wrapText="1"/>
      <protection hidden="1"/>
    </xf>
    <xf numFmtId="9" fontId="3" fillId="26" borderId="69" xfId="3" applyNumberFormat="1" applyBorder="1">
      <alignment vertical="center" wrapText="1"/>
    </xf>
    <xf numFmtId="0" fontId="3" fillId="33" borderId="101" xfId="12" applyFont="1" applyBorder="1">
      <alignment horizontal="left" vertical="center" wrapText="1"/>
      <protection hidden="1"/>
    </xf>
    <xf numFmtId="0" fontId="13" fillId="33" borderId="101" xfId="12" applyNumberFormat="1" applyFont="1" applyBorder="1">
      <alignment horizontal="left" vertical="center" wrapText="1"/>
      <protection hidden="1"/>
    </xf>
    <xf numFmtId="165" fontId="3" fillId="26" borderId="65" xfId="3" applyNumberFormat="1" applyBorder="1">
      <alignment vertical="center" wrapText="1"/>
    </xf>
    <xf numFmtId="0" fontId="26" fillId="0" borderId="0" xfId="0" applyFont="1" applyFill="1" applyBorder="1"/>
    <xf numFmtId="0" fontId="0" fillId="33" borderId="68" xfId="12" applyFont="1" applyBorder="1">
      <alignment horizontal="left" vertical="center" wrapText="1"/>
      <protection hidden="1"/>
    </xf>
    <xf numFmtId="14" fontId="3" fillId="26" borderId="50" xfId="3" applyNumberFormat="1" applyBorder="1">
      <alignment vertical="center" wrapText="1"/>
    </xf>
    <xf numFmtId="14" fontId="3" fillId="26" borderId="31" xfId="3" applyNumberFormat="1" applyBorder="1">
      <alignment vertical="center" wrapText="1"/>
    </xf>
    <xf numFmtId="167" fontId="3" fillId="26" borderId="63" xfId="3" applyNumberFormat="1" applyBorder="1">
      <alignment vertical="center" wrapText="1"/>
    </xf>
    <xf numFmtId="165" fontId="3" fillId="26" borderId="31" xfId="11" applyNumberFormat="1" applyFont="1" applyFill="1" applyBorder="1" applyAlignment="1">
      <alignment vertical="center" wrapText="1"/>
    </xf>
    <xf numFmtId="0" fontId="0" fillId="33" borderId="42" xfId="12" applyFont="1" applyBorder="1">
      <alignment horizontal="left" vertical="center" wrapText="1"/>
      <protection hidden="1"/>
    </xf>
    <xf numFmtId="0" fontId="0" fillId="33" borderId="79" xfId="12" applyFont="1" applyBorder="1">
      <alignment horizontal="left" vertical="center" wrapText="1"/>
      <protection hidden="1"/>
    </xf>
    <xf numFmtId="1" fontId="3" fillId="26" borderId="27" xfId="3" applyNumberFormat="1" applyBorder="1">
      <alignment vertical="center" wrapText="1"/>
    </xf>
    <xf numFmtId="14" fontId="3" fillId="26" borderId="27" xfId="3" applyNumberFormat="1" applyBorder="1">
      <alignment vertical="center" wrapText="1"/>
    </xf>
    <xf numFmtId="0" fontId="26" fillId="26" borderId="27" xfId="3" applyNumberFormat="1" applyFont="1" applyBorder="1" applyAlignment="1">
      <alignment vertical="center"/>
    </xf>
    <xf numFmtId="9" fontId="0" fillId="0" borderId="0" xfId="0" applyNumberFormat="1" applyBorder="1"/>
    <xf numFmtId="165" fontId="0" fillId="0" borderId="0" xfId="0" applyNumberFormat="1" applyBorder="1"/>
    <xf numFmtId="166" fontId="3" fillId="26" borderId="27" xfId="3" applyNumberFormat="1" applyBorder="1" applyProtection="1">
      <alignment vertical="center" wrapText="1"/>
      <protection locked="0"/>
    </xf>
    <xf numFmtId="165" fontId="3" fillId="26" borderId="27" xfId="3" applyNumberFormat="1" applyBorder="1" applyProtection="1">
      <alignment vertical="center" wrapText="1"/>
      <protection locked="0"/>
    </xf>
    <xf numFmtId="0" fontId="44" fillId="0" borderId="0" xfId="4" applyFont="1" applyBorder="1" applyAlignment="1">
      <alignment wrapText="1"/>
    </xf>
    <xf numFmtId="0" fontId="26" fillId="26" borderId="30" xfId="3" applyNumberFormat="1" applyFont="1" applyBorder="1" applyAlignment="1">
      <alignment vertical="center"/>
    </xf>
    <xf numFmtId="0" fontId="3" fillId="33" borderId="84" xfId="12" applyFont="1" applyBorder="1" applyAlignment="1">
      <alignment horizontal="left" vertical="center" wrapText="1"/>
      <protection hidden="1"/>
    </xf>
    <xf numFmtId="0" fontId="0" fillId="0" borderId="87" xfId="0" applyBorder="1" applyAlignment="1">
      <alignment vertical="center"/>
    </xf>
    <xf numFmtId="0" fontId="0" fillId="33" borderId="102" xfId="12" applyFont="1" applyBorder="1" applyAlignment="1">
      <alignment horizontal="right" vertical="center" wrapText="1" indent="1"/>
      <protection hidden="1"/>
    </xf>
    <xf numFmtId="0" fontId="0" fillId="33" borderId="84" xfId="12" applyFont="1" applyBorder="1" applyAlignment="1">
      <alignment horizontal="right" vertical="center" wrapText="1" indent="1"/>
      <protection hidden="1"/>
    </xf>
    <xf numFmtId="0" fontId="7" fillId="33" borderId="84" xfId="12" applyFont="1" applyBorder="1" applyAlignment="1">
      <alignment horizontal="right" vertical="center" wrapText="1"/>
      <protection hidden="1"/>
    </xf>
    <xf numFmtId="0" fontId="68" fillId="36" borderId="34" xfId="0" applyFont="1" applyFill="1" applyBorder="1" applyAlignment="1">
      <alignment horizontal="left" vertical="center" wrapText="1"/>
    </xf>
    <xf numFmtId="0" fontId="3" fillId="0" borderId="0" xfId="0" applyFont="1" applyBorder="1" applyAlignment="1">
      <alignment wrapText="1"/>
    </xf>
    <xf numFmtId="0" fontId="51" fillId="0" borderId="0" xfId="9" applyFont="1" applyFill="1" applyBorder="1" applyAlignment="1" applyProtection="1"/>
    <xf numFmtId="0" fontId="67" fillId="0" borderId="0" xfId="0" applyFont="1" applyBorder="1" applyAlignment="1">
      <alignment horizontal="right"/>
    </xf>
    <xf numFmtId="0" fontId="7" fillId="28" borderId="80" xfId="20" applyFont="1" applyBorder="1">
      <alignment horizontal="center" wrapText="1"/>
      <protection hidden="1"/>
    </xf>
    <xf numFmtId="0" fontId="3" fillId="26" borderId="27" xfId="3" applyNumberFormat="1" applyFont="1" applyBorder="1">
      <alignment vertical="center" wrapText="1"/>
    </xf>
    <xf numFmtId="0" fontId="3" fillId="0" borderId="0" xfId="0" applyFont="1" applyBorder="1"/>
    <xf numFmtId="0" fontId="0" fillId="0" borderId="0" xfId="0" applyBorder="1" applyAlignment="1">
      <alignment wrapText="1"/>
    </xf>
    <xf numFmtId="0" fontId="7" fillId="28" borderId="15" xfId="20" applyBorder="1" applyAlignment="1">
      <alignment horizontal="center" vertical="center" wrapText="1"/>
      <protection hidden="1"/>
    </xf>
    <xf numFmtId="0" fontId="26" fillId="0" borderId="0" xfId="0" applyFont="1" applyBorder="1"/>
    <xf numFmtId="0" fontId="0" fillId="0" borderId="0" xfId="0" applyBorder="1" applyAlignment="1">
      <alignment horizontal="center"/>
    </xf>
    <xf numFmtId="0" fontId="50" fillId="0" borderId="0" xfId="0" applyFont="1" applyBorder="1" applyAlignment="1">
      <alignment horizontal="center"/>
    </xf>
    <xf numFmtId="0" fontId="12" fillId="0" borderId="0" xfId="0" applyFont="1" applyBorder="1" applyAlignment="1">
      <alignment wrapText="1"/>
    </xf>
    <xf numFmtId="0" fontId="15" fillId="33" borderId="26" xfId="12" applyFont="1" applyBorder="1">
      <alignment horizontal="left" vertical="center" wrapText="1"/>
      <protection hidden="1"/>
    </xf>
    <xf numFmtId="0" fontId="22" fillId="0" borderId="0" xfId="4" applyBorder="1" applyAlignment="1">
      <alignment vertical="top"/>
    </xf>
    <xf numFmtId="0" fontId="7" fillId="28" borderId="15" xfId="20" applyFont="1" applyBorder="1">
      <alignment horizontal="center" wrapText="1"/>
      <protection hidden="1"/>
    </xf>
    <xf numFmtId="41" fontId="3" fillId="26" borderId="27" xfId="3" applyNumberFormat="1" applyBorder="1">
      <alignment vertical="center" wrapText="1"/>
    </xf>
    <xf numFmtId="41" fontId="7" fillId="32" borderId="28" xfId="32" applyNumberFormat="1" applyBorder="1">
      <alignment vertical="center" wrapText="1"/>
    </xf>
    <xf numFmtId="0" fontId="3" fillId="0" borderId="0" xfId="0" applyFont="1" applyBorder="1" applyAlignment="1">
      <alignment horizontal="left"/>
    </xf>
    <xf numFmtId="0" fontId="7" fillId="32" borderId="28" xfId="32" applyNumberFormat="1" applyBorder="1">
      <alignment vertical="center" wrapText="1"/>
    </xf>
    <xf numFmtId="0" fontId="7" fillId="40" borderId="0" xfId="0" applyFont="1" applyFill="1" applyBorder="1" applyAlignment="1">
      <alignment wrapText="1"/>
    </xf>
    <xf numFmtId="0" fontId="7" fillId="28" borderId="37" xfId="20" applyBorder="1">
      <alignment horizontal="center" wrapText="1"/>
      <protection hidden="1"/>
    </xf>
    <xf numFmtId="0" fontId="7" fillId="28" borderId="104" xfId="20" applyBorder="1">
      <alignment horizontal="center" wrapText="1"/>
      <protection hidden="1"/>
    </xf>
    <xf numFmtId="0" fontId="7" fillId="28" borderId="105" xfId="20" applyBorder="1">
      <alignment horizontal="center" wrapText="1"/>
      <protection hidden="1"/>
    </xf>
    <xf numFmtId="0" fontId="7" fillId="33" borderId="106" xfId="12" applyFont="1" applyBorder="1">
      <alignment horizontal="left" vertical="center" wrapText="1"/>
      <protection hidden="1"/>
    </xf>
    <xf numFmtId="0" fontId="18" fillId="26" borderId="107" xfId="3" applyNumberFormat="1" applyFont="1" applyBorder="1">
      <alignment vertical="center" wrapText="1"/>
    </xf>
    <xf numFmtId="0" fontId="7" fillId="33" borderId="108" xfId="12" applyFont="1" applyBorder="1">
      <alignment horizontal="left" vertical="center" wrapText="1"/>
      <protection hidden="1"/>
    </xf>
    <xf numFmtId="0" fontId="18" fillId="26" borderId="109" xfId="3" applyNumberFormat="1" applyFont="1" applyBorder="1">
      <alignment vertical="center" wrapText="1"/>
    </xf>
    <xf numFmtId="0" fontId="7" fillId="33" borderId="110" xfId="12" applyFont="1" applyBorder="1">
      <alignment horizontal="left" vertical="center" wrapText="1"/>
      <protection hidden="1"/>
    </xf>
    <xf numFmtId="0" fontId="18" fillId="26" borderId="111" xfId="3" applyNumberFormat="1" applyFont="1" applyBorder="1">
      <alignment vertical="center" wrapText="1"/>
    </xf>
    <xf numFmtId="0" fontId="3" fillId="26" borderId="72" xfId="3" applyNumberFormat="1" applyBorder="1" applyAlignment="1">
      <alignment vertical="center"/>
    </xf>
    <xf numFmtId="0" fontId="3" fillId="26" borderId="30" xfId="3" applyNumberFormat="1" applyBorder="1" applyAlignment="1">
      <alignment vertical="center"/>
    </xf>
    <xf numFmtId="0" fontId="7" fillId="33" borderId="84" xfId="12" applyNumberFormat="1" applyFont="1" applyBorder="1">
      <alignment horizontal="left" vertical="center" wrapText="1"/>
      <protection hidden="1"/>
    </xf>
    <xf numFmtId="166" fontId="3" fillId="26" borderId="27" xfId="3" applyNumberFormat="1" applyBorder="1">
      <alignment vertical="center" wrapText="1"/>
    </xf>
    <xf numFmtId="0" fontId="7" fillId="34" borderId="15" xfId="20" applyFill="1" applyBorder="1" applyAlignment="1">
      <alignment horizontal="left"/>
      <protection hidden="1"/>
    </xf>
    <xf numFmtId="0" fontId="7" fillId="34" borderId="15" xfId="20" applyFill="1" applyBorder="1" applyAlignment="1">
      <alignment horizontal="center"/>
      <protection hidden="1"/>
    </xf>
    <xf numFmtId="0" fontId="7" fillId="34" borderId="15" xfId="20" applyFill="1" applyBorder="1" applyAlignment="1">
      <alignment horizontal="left" wrapText="1"/>
      <protection hidden="1"/>
    </xf>
    <xf numFmtId="0" fontId="0" fillId="33" borderId="84" xfId="12" applyNumberFormat="1" applyFont="1" applyBorder="1" applyAlignment="1">
      <alignment vertical="center" wrapText="1"/>
      <protection hidden="1"/>
    </xf>
    <xf numFmtId="0" fontId="0" fillId="33" borderId="26" xfId="12" applyNumberFormat="1" applyFont="1" applyBorder="1" applyAlignment="1">
      <alignment vertical="center" wrapText="1"/>
      <protection hidden="1"/>
    </xf>
    <xf numFmtId="0" fontId="3" fillId="33" borderId="79" xfId="12" applyFont="1" applyBorder="1" applyAlignment="1">
      <alignment wrapText="1"/>
      <protection hidden="1"/>
    </xf>
    <xf numFmtId="0" fontId="0" fillId="33" borderId="79" xfId="12" applyFont="1" applyBorder="1" applyAlignment="1">
      <alignment wrapText="1"/>
      <protection hidden="1"/>
    </xf>
    <xf numFmtId="0" fontId="0" fillId="33" borderId="84" xfId="12" applyFont="1" applyBorder="1" applyAlignment="1">
      <alignment wrapText="1"/>
      <protection hidden="1"/>
    </xf>
    <xf numFmtId="0" fontId="0" fillId="33" borderId="26" xfId="12" applyFont="1" applyBorder="1" applyAlignment="1">
      <alignment wrapText="1"/>
      <protection hidden="1"/>
    </xf>
    <xf numFmtId="0" fontId="0" fillId="0" borderId="87" xfId="0" applyBorder="1"/>
    <xf numFmtId="0" fontId="3" fillId="26" borderId="87" xfId="3" applyNumberFormat="1" applyBorder="1" applyAlignment="1">
      <alignment vertical="center"/>
    </xf>
    <xf numFmtId="0" fontId="3" fillId="26" borderId="0" xfId="3" applyNumberFormat="1" applyBorder="1">
      <alignment vertical="center" wrapText="1"/>
    </xf>
    <xf numFmtId="0" fontId="3" fillId="33" borderId="115" xfId="12" applyFont="1" applyBorder="1">
      <alignment horizontal="left" vertical="center" wrapText="1"/>
      <protection hidden="1"/>
    </xf>
    <xf numFmtId="0" fontId="3" fillId="26" borderId="116" xfId="3" applyNumberFormat="1" applyBorder="1">
      <alignment vertical="center" wrapText="1"/>
    </xf>
    <xf numFmtId="0" fontId="7" fillId="28" borderId="45" xfId="20" applyBorder="1" applyAlignment="1">
      <alignment horizontal="center"/>
      <protection hidden="1"/>
    </xf>
    <xf numFmtId="0" fontId="7" fillId="28" borderId="46" xfId="20" applyBorder="1" applyAlignment="1">
      <alignment horizontal="center"/>
      <protection hidden="1"/>
    </xf>
    <xf numFmtId="0" fontId="22" fillId="0" borderId="20" xfId="4" applyFont="1" applyFill="1" applyBorder="1" applyAlignment="1">
      <alignment horizontal="center"/>
    </xf>
    <xf numFmtId="0" fontId="22" fillId="0" borderId="0" xfId="4" applyFont="1" applyFill="1" applyBorder="1" applyAlignment="1">
      <alignment horizontal="center"/>
    </xf>
    <xf numFmtId="0" fontId="3" fillId="26" borderId="30" xfId="3" applyNumberFormat="1" applyFont="1" applyBorder="1" applyAlignment="1">
      <alignment vertical="center"/>
    </xf>
    <xf numFmtId="41" fontId="3" fillId="26" borderId="30" xfId="1" applyFont="1" applyFill="1" applyBorder="1" applyAlignment="1">
      <alignment vertical="center"/>
    </xf>
    <xf numFmtId="1" fontId="3" fillId="26" borderId="30" xfId="3" applyNumberFormat="1" applyBorder="1" applyAlignment="1">
      <alignment vertical="center"/>
    </xf>
    <xf numFmtId="0" fontId="3" fillId="26" borderId="27" xfId="1" applyNumberFormat="1" applyFont="1" applyFill="1" applyBorder="1" applyAlignment="1">
      <alignment vertical="center" wrapText="1"/>
    </xf>
    <xf numFmtId="0" fontId="0" fillId="0" borderId="122" xfId="0" applyBorder="1"/>
    <xf numFmtId="4" fontId="5" fillId="26" borderId="50" xfId="1" applyNumberFormat="1" applyFill="1" applyBorder="1" applyAlignment="1" applyProtection="1">
      <alignment vertical="center" wrapText="1"/>
      <protection hidden="1"/>
    </xf>
    <xf numFmtId="10" fontId="3" fillId="26" borderId="50" xfId="3" applyNumberFormat="1" applyBorder="1">
      <alignment vertical="center" wrapText="1"/>
    </xf>
    <xf numFmtId="0" fontId="26" fillId="33" borderId="68" xfId="12" applyNumberFormat="1" applyFont="1" applyBorder="1">
      <alignment horizontal="left" vertical="center" wrapText="1"/>
      <protection hidden="1"/>
    </xf>
    <xf numFmtId="0" fontId="3" fillId="26" borderId="50" xfId="3" applyNumberFormat="1" applyBorder="1">
      <alignment vertical="center" wrapText="1"/>
    </xf>
    <xf numFmtId="41" fontId="3" fillId="26" borderId="50" xfId="1" applyFont="1" applyFill="1" applyBorder="1" applyAlignment="1">
      <alignment vertical="center" wrapText="1"/>
    </xf>
    <xf numFmtId="0" fontId="3" fillId="26" borderId="27" xfId="3" applyNumberFormat="1" applyBorder="1" applyAlignment="1">
      <alignment horizontal="center" vertical="center" wrapText="1"/>
    </xf>
    <xf numFmtId="0" fontId="3" fillId="26" borderId="27" xfId="3" applyNumberFormat="1" applyFont="1" applyBorder="1" applyAlignment="1">
      <alignment vertical="center"/>
    </xf>
    <xf numFmtId="0" fontId="19" fillId="0" borderId="0" xfId="0" applyFont="1" applyBorder="1" applyAlignment="1">
      <alignment horizontal="center"/>
    </xf>
    <xf numFmtId="164" fontId="3" fillId="26" borderId="27" xfId="3" applyNumberFormat="1" applyBorder="1">
      <alignment vertical="center" wrapText="1"/>
    </xf>
    <xf numFmtId="164" fontId="3" fillId="38" borderId="27" xfId="3" applyNumberFormat="1" applyFill="1" applyBorder="1">
      <alignment vertical="center" wrapText="1"/>
    </xf>
    <xf numFmtId="41" fontId="3" fillId="6" borderId="0" xfId="1" quotePrefix="1" applyFont="1" applyFill="1" applyBorder="1"/>
    <xf numFmtId="164" fontId="3" fillId="6" borderId="27" xfId="3" applyNumberFormat="1" applyFill="1" applyBorder="1">
      <alignment vertical="center" wrapText="1"/>
    </xf>
    <xf numFmtId="41" fontId="3" fillId="6" borderId="0" xfId="1" applyFont="1" applyFill="1" applyBorder="1"/>
    <xf numFmtId="1" fontId="3" fillId="26" borderId="27" xfId="3" applyNumberFormat="1" applyFont="1" applyBorder="1">
      <alignment vertical="center" wrapText="1"/>
    </xf>
    <xf numFmtId="0" fontId="46" fillId="0" borderId="0" xfId="0" applyFont="1" applyBorder="1" applyAlignment="1">
      <alignment horizontal="center"/>
    </xf>
    <xf numFmtId="165" fontId="3" fillId="26" borderId="27" xfId="3" applyNumberFormat="1" applyFont="1" applyBorder="1">
      <alignment vertical="center" wrapText="1"/>
    </xf>
    <xf numFmtId="41" fontId="3" fillId="0" borderId="0" xfId="0" applyNumberFormat="1" applyFont="1" applyBorder="1"/>
    <xf numFmtId="0" fontId="3" fillId="26" borderId="27" xfId="3" quotePrefix="1" applyNumberFormat="1" applyBorder="1" applyAlignment="1">
      <alignment vertical="center"/>
    </xf>
    <xf numFmtId="0" fontId="3" fillId="0" borderId="0" xfId="0" quotePrefix="1" applyFont="1" applyBorder="1"/>
    <xf numFmtId="9" fontId="0" fillId="0" borderId="0" xfId="11" applyFont="1" applyBorder="1"/>
    <xf numFmtId="9" fontId="0" fillId="30" borderId="0" xfId="11" applyFont="1" applyFill="1" applyBorder="1"/>
    <xf numFmtId="10" fontId="3" fillId="26" borderId="27" xfId="3" applyNumberFormat="1" applyBorder="1">
      <alignment vertical="center" wrapText="1"/>
    </xf>
    <xf numFmtId="165" fontId="26" fillId="26" borderId="27" xfId="3" applyNumberFormat="1" applyFont="1" applyBorder="1">
      <alignment vertical="center" wrapText="1"/>
    </xf>
    <xf numFmtId="9" fontId="26" fillId="0" borderId="0" xfId="0" applyNumberFormat="1" applyFont="1" applyBorder="1"/>
    <xf numFmtId="10" fontId="26" fillId="26" borderId="27" xfId="3" applyNumberFormat="1" applyFont="1" applyBorder="1">
      <alignment vertical="center" wrapText="1"/>
    </xf>
    <xf numFmtId="9" fontId="0" fillId="0" borderId="0" xfId="0" applyNumberFormat="1" applyFont="1" applyBorder="1" applyAlignment="1">
      <alignment vertical="center" wrapText="1"/>
    </xf>
    <xf numFmtId="9" fontId="3" fillId="0" borderId="0" xfId="0" applyNumberFormat="1" applyFont="1" applyBorder="1" applyAlignment="1">
      <alignment vertical="center" wrapText="1"/>
    </xf>
    <xf numFmtId="10" fontId="0" fillId="38" borderId="0" xfId="0" applyNumberFormat="1" applyFill="1" applyBorder="1"/>
    <xf numFmtId="10" fontId="0" fillId="0" borderId="0" xfId="0" applyNumberFormat="1" applyBorder="1"/>
    <xf numFmtId="0" fontId="64" fillId="0" borderId="0" xfId="0" applyFont="1" applyBorder="1"/>
    <xf numFmtId="165" fontId="0" fillId="0" borderId="0" xfId="11" applyNumberFormat="1" applyFont="1" applyBorder="1"/>
    <xf numFmtId="0" fontId="7" fillId="26" borderId="27" xfId="3" applyNumberFormat="1" applyFont="1" applyBorder="1">
      <alignment vertical="center" wrapText="1"/>
    </xf>
    <xf numFmtId="0" fontId="7" fillId="26" borderId="27" xfId="3" applyNumberFormat="1" applyFont="1" applyBorder="1" applyAlignment="1">
      <alignment vertical="center"/>
    </xf>
    <xf numFmtId="165" fontId="0" fillId="42" borderId="0" xfId="11" applyNumberFormat="1" applyFont="1" applyFill="1" applyBorder="1"/>
    <xf numFmtId="0" fontId="60" fillId="33" borderId="26" xfId="12" applyNumberFormat="1" applyFont="1" applyBorder="1">
      <alignment horizontal="left" vertical="center" wrapText="1"/>
      <protection hidden="1"/>
    </xf>
    <xf numFmtId="9" fontId="7" fillId="26" borderId="27" xfId="3" applyNumberFormat="1" applyFont="1" applyBorder="1">
      <alignment vertical="center" wrapText="1"/>
    </xf>
    <xf numFmtId="9" fontId="7" fillId="0" borderId="0" xfId="11" applyFont="1" applyBorder="1"/>
    <xf numFmtId="9" fontId="7" fillId="26" borderId="27" xfId="3" applyFont="1" applyBorder="1">
      <alignment vertical="center" wrapText="1"/>
    </xf>
    <xf numFmtId="0" fontId="26" fillId="33" borderId="26" xfId="12" applyNumberFormat="1" applyFont="1" applyBorder="1">
      <alignment horizontal="left" vertical="center" wrapText="1"/>
      <protection hidden="1"/>
    </xf>
    <xf numFmtId="0" fontId="7" fillId="32" borderId="28" xfId="32" applyNumberFormat="1" applyBorder="1" applyAlignment="1">
      <alignment vertical="center"/>
    </xf>
    <xf numFmtId="0" fontId="3" fillId="0" borderId="0" xfId="0" applyFont="1" applyFill="1" applyBorder="1" applyAlignment="1">
      <alignment horizontal="right"/>
    </xf>
    <xf numFmtId="9" fontId="0" fillId="39" borderId="0" xfId="0" applyNumberFormat="1" applyFill="1" applyBorder="1"/>
    <xf numFmtId="9" fontId="26" fillId="26" borderId="27" xfId="3" applyNumberFormat="1" applyFont="1" applyBorder="1">
      <alignment vertical="center" wrapText="1"/>
    </xf>
    <xf numFmtId="43" fontId="0" fillId="0" borderId="0" xfId="0" applyNumberFormat="1" applyBorder="1"/>
    <xf numFmtId="0" fontId="26" fillId="33" borderId="26" xfId="12" applyFont="1" applyBorder="1">
      <alignment horizontal="left" vertical="center" wrapText="1"/>
      <protection hidden="1"/>
    </xf>
    <xf numFmtId="0" fontId="61" fillId="0" borderId="0" xfId="0" applyFont="1" applyBorder="1"/>
    <xf numFmtId="0" fontId="26" fillId="26" borderId="27" xfId="3" applyNumberFormat="1" applyFont="1" applyBorder="1">
      <alignment vertical="center" wrapText="1"/>
    </xf>
    <xf numFmtId="0" fontId="3" fillId="28" borderId="15" xfId="20" applyFont="1" applyBorder="1" applyAlignment="1">
      <alignment horizontal="center" textRotation="90" wrapText="1"/>
      <protection hidden="1"/>
    </xf>
    <xf numFmtId="0" fontId="44" fillId="0" borderId="0" xfId="4" applyFont="1" applyBorder="1" applyAlignment="1">
      <alignment horizontal="left" wrapText="1"/>
    </xf>
    <xf numFmtId="0" fontId="7" fillId="28" borderId="15" xfId="20" applyBorder="1" applyAlignment="1">
      <alignment horizontal="center" textRotation="90" wrapText="1"/>
      <protection hidden="1"/>
    </xf>
    <xf numFmtId="0" fontId="7" fillId="32" borderId="28" xfId="32" applyNumberFormat="1" applyBorder="1" applyAlignment="1">
      <alignment horizontal="center" vertical="center" wrapText="1"/>
    </xf>
    <xf numFmtId="0" fontId="44" fillId="0" borderId="0" xfId="4" applyFont="1" applyBorder="1" applyAlignment="1">
      <alignment horizontal="center" wrapText="1"/>
    </xf>
    <xf numFmtId="0" fontId="3" fillId="33" borderId="26" xfId="12" applyNumberFormat="1" applyFont="1" applyBorder="1" applyAlignment="1">
      <protection hidden="1"/>
    </xf>
    <xf numFmtId="0" fontId="3" fillId="33" borderId="26" xfId="12" applyFont="1" applyBorder="1" applyAlignment="1">
      <alignment horizontal="left" vertical="center"/>
      <protection hidden="1"/>
    </xf>
    <xf numFmtId="41" fontId="3" fillId="26" borderId="27" xfId="3" applyNumberFormat="1" applyBorder="1" applyAlignment="1">
      <alignment vertical="center"/>
    </xf>
    <xf numFmtId="0" fontId="3" fillId="33" borderId="26" xfId="12" applyFont="1" applyBorder="1" applyAlignment="1">
      <alignment horizontal="left" vertical="center" wrapText="1"/>
      <protection hidden="1"/>
    </xf>
    <xf numFmtId="0" fontId="3" fillId="33" borderId="26" xfId="12" applyFont="1" applyBorder="1" applyAlignment="1">
      <alignment horizontal="right" vertical="center" wrapText="1"/>
      <protection hidden="1"/>
    </xf>
    <xf numFmtId="0" fontId="3" fillId="33" borderId="0" xfId="12" applyFont="1" applyBorder="1">
      <alignment horizontal="left" vertical="center" wrapText="1"/>
      <protection hidden="1"/>
    </xf>
    <xf numFmtId="0" fontId="15" fillId="28" borderId="15" xfId="20" applyFont="1" applyBorder="1" applyAlignment="1">
      <alignment horizontal="center" textRotation="90" wrapText="1"/>
      <protection hidden="1"/>
    </xf>
    <xf numFmtId="0" fontId="60" fillId="28" borderId="15" xfId="20" applyFont="1" applyBorder="1">
      <alignment horizontal="center" wrapText="1"/>
      <protection hidden="1"/>
    </xf>
    <xf numFmtId="0" fontId="7" fillId="28" borderId="15" xfId="20" applyNumberFormat="1" applyBorder="1">
      <alignment horizontal="center" wrapText="1"/>
      <protection hidden="1"/>
    </xf>
    <xf numFmtId="0" fontId="64" fillId="33" borderId="26" xfId="12" applyFont="1" applyBorder="1">
      <alignment horizontal="left" vertical="center" wrapText="1"/>
      <protection hidden="1"/>
    </xf>
    <xf numFmtId="0" fontId="3" fillId="12" borderId="103" xfId="9" applyNumberFormat="1" applyFont="1" applyFill="1" applyBorder="1" applyAlignment="1" applyProtection="1">
      <alignment vertical="center" wrapText="1"/>
    </xf>
    <xf numFmtId="0" fontId="3" fillId="30" borderId="72" xfId="9" applyNumberFormat="1" applyFont="1" applyFill="1" applyBorder="1" applyAlignment="1" applyProtection="1">
      <alignment vertical="center" wrapText="1"/>
    </xf>
    <xf numFmtId="0" fontId="3" fillId="4" borderId="72" xfId="9" applyNumberFormat="1" applyFont="1" applyFill="1" applyBorder="1" applyAlignment="1" applyProtection="1">
      <alignment vertical="center" wrapText="1"/>
    </xf>
    <xf numFmtId="0" fontId="3" fillId="43" borderId="72" xfId="9" applyNumberFormat="1" applyFont="1" applyFill="1" applyBorder="1" applyAlignment="1" applyProtection="1">
      <alignment vertical="center" wrapText="1"/>
    </xf>
    <xf numFmtId="0" fontId="3" fillId="22" borderId="72" xfId="9" applyNumberFormat="1" applyFont="1" applyFill="1" applyBorder="1" applyAlignment="1" applyProtection="1">
      <alignment vertical="center" wrapText="1"/>
    </xf>
    <xf numFmtId="0" fontId="3" fillId="29" borderId="72" xfId="9" applyNumberFormat="1" applyFont="1" applyFill="1" applyBorder="1" applyAlignment="1" applyProtection="1">
      <alignment vertical="center" wrapText="1"/>
    </xf>
    <xf numFmtId="0" fontId="3" fillId="31" borderId="30" xfId="9" applyNumberFormat="1" applyFont="1" applyFill="1" applyBorder="1" applyAlignment="1" applyProtection="1">
      <alignment vertical="center" wrapText="1"/>
    </xf>
    <xf numFmtId="0" fontId="3" fillId="0" borderId="0" xfId="0" applyFont="1" applyFill="1" applyBorder="1" applyAlignment="1">
      <alignment wrapText="1"/>
    </xf>
    <xf numFmtId="0" fontId="3" fillId="26" borderId="27" xfId="3" applyNumberFormat="1" applyBorder="1" applyAlignment="1">
      <alignment vertical="center" wrapText="1"/>
    </xf>
    <xf numFmtId="0" fontId="26" fillId="26" borderId="27" xfId="3" applyNumberFormat="1" applyFont="1" applyBorder="1" applyAlignment="1">
      <alignment vertical="center" wrapText="1"/>
    </xf>
    <xf numFmtId="0" fontId="26" fillId="26" borderId="30" xfId="3" applyNumberFormat="1" applyFont="1" applyBorder="1" applyAlignment="1">
      <alignment vertical="center" wrapText="1"/>
    </xf>
    <xf numFmtId="0" fontId="69" fillId="26" borderId="73" xfId="3" applyNumberFormat="1" applyFont="1" applyBorder="1" applyAlignment="1">
      <alignment vertical="center"/>
    </xf>
    <xf numFmtId="0" fontId="69" fillId="26" borderId="72" xfId="3" applyNumberFormat="1" applyFont="1" applyBorder="1" applyAlignment="1">
      <alignment vertical="center"/>
    </xf>
    <xf numFmtId="0" fontId="3" fillId="0" borderId="0" xfId="0" applyFont="1" applyBorder="1" applyAlignment="1">
      <alignment horizontal="right"/>
    </xf>
    <xf numFmtId="0" fontId="46" fillId="0" borderId="0" xfId="0" applyFont="1" applyBorder="1" applyAlignment="1"/>
    <xf numFmtId="0" fontId="0" fillId="0" borderId="0" xfId="0" applyBorder="1"/>
    <xf numFmtId="0" fontId="3" fillId="0" borderId="0" xfId="0" applyFont="1" applyBorder="1" applyAlignment="1">
      <alignment vertical="center"/>
    </xf>
    <xf numFmtId="0" fontId="0" fillId="0" borderId="0" xfId="0" applyNumberFormat="1" applyBorder="1"/>
    <xf numFmtId="0" fontId="52" fillId="0" borderId="0" xfId="6" applyFont="1" applyFill="1" applyBorder="1"/>
    <xf numFmtId="0" fontId="10" fillId="0" borderId="0" xfId="0" applyFont="1" applyFill="1" applyBorder="1" applyAlignment="1">
      <alignment horizontal="left"/>
    </xf>
    <xf numFmtId="0" fontId="10" fillId="40" borderId="0" xfId="0" applyFont="1" applyFill="1" applyBorder="1"/>
    <xf numFmtId="0" fontId="25" fillId="40" borderId="0" xfId="8" applyFill="1" applyBorder="1"/>
    <xf numFmtId="0" fontId="54" fillId="40" borderId="0" xfId="0" applyFont="1" applyFill="1" applyBorder="1" applyAlignment="1">
      <alignment vertical="center" wrapText="1"/>
    </xf>
    <xf numFmtId="0" fontId="3" fillId="0" borderId="0" xfId="0" applyFont="1" applyFill="1" applyBorder="1" applyAlignment="1"/>
    <xf numFmtId="169" fontId="0" fillId="35" borderId="0" xfId="38" applyNumberFormat="1" applyFont="1" applyBorder="1"/>
    <xf numFmtId="0" fontId="0" fillId="0" borderId="0" xfId="0"/>
    <xf numFmtId="0" fontId="3" fillId="0" borderId="0" xfId="0" applyFont="1"/>
    <xf numFmtId="0" fontId="3" fillId="33" borderId="26" xfId="12" applyFont="1">
      <alignment horizontal="left" vertical="center" wrapText="1"/>
      <protection hidden="1"/>
    </xf>
    <xf numFmtId="0" fontId="3" fillId="26" borderId="27" xfId="3" applyNumberFormat="1" applyAlignment="1">
      <alignment vertical="center"/>
    </xf>
    <xf numFmtId="0" fontId="0" fillId="42" borderId="0" xfId="0" applyFill="1"/>
    <xf numFmtId="0" fontId="3" fillId="26" borderId="27" xfId="3" applyNumberFormat="1">
      <alignment vertical="center" wrapText="1"/>
    </xf>
    <xf numFmtId="0" fontId="3" fillId="35" borderId="27" xfId="38" applyNumberFormat="1" applyBorder="1" applyAlignment="1">
      <alignment vertical="center" wrapText="1"/>
    </xf>
    <xf numFmtId="0" fontId="3" fillId="35" borderId="27" xfId="38" applyNumberFormat="1" applyBorder="1" applyAlignment="1">
      <alignment vertical="center"/>
    </xf>
    <xf numFmtId="14" fontId="3" fillId="35" borderId="27" xfId="38" applyNumberFormat="1" applyBorder="1" applyAlignment="1">
      <alignment vertical="center" wrapText="1"/>
    </xf>
    <xf numFmtId="9" fontId="3" fillId="35" borderId="27" xfId="38" applyNumberFormat="1" applyBorder="1" applyAlignment="1">
      <alignment vertical="center" wrapText="1"/>
    </xf>
    <xf numFmtId="2" fontId="3" fillId="35" borderId="27" xfId="38" applyNumberFormat="1" applyBorder="1" applyAlignment="1">
      <alignment vertical="center"/>
    </xf>
    <xf numFmtId="0" fontId="71" fillId="12" borderId="39" xfId="40" applyFill="1" applyBorder="1"/>
    <xf numFmtId="0" fontId="71" fillId="12" borderId="39" xfId="40" applyFill="1" applyBorder="1" applyAlignment="1">
      <alignment vertical="center"/>
    </xf>
    <xf numFmtId="0" fontId="71" fillId="0" borderId="0" xfId="40"/>
    <xf numFmtId="0" fontId="17" fillId="32" borderId="28" xfId="32" applyNumberFormat="1" applyFont="1">
      <alignment vertical="center" wrapText="1"/>
    </xf>
    <xf numFmtId="0" fontId="3" fillId="0" borderId="0" xfId="0" quotePrefix="1" applyFont="1" applyFill="1" applyBorder="1"/>
    <xf numFmtId="0" fontId="22" fillId="0" borderId="0" xfId="4" applyAlignment="1">
      <alignment vertical="center"/>
    </xf>
    <xf numFmtId="9" fontId="7" fillId="32" borderId="70" xfId="32" applyBorder="1">
      <alignment vertical="center" wrapText="1"/>
    </xf>
    <xf numFmtId="0" fontId="71" fillId="12" borderId="0" xfId="40" applyFill="1" applyBorder="1"/>
    <xf numFmtId="0" fontId="6" fillId="0" borderId="38" xfId="5" applyBorder="1"/>
    <xf numFmtId="2" fontId="7" fillId="32" borderId="152" xfId="32" applyNumberFormat="1" applyBorder="1" applyProtection="1">
      <alignment vertical="center" wrapText="1"/>
    </xf>
    <xf numFmtId="2" fontId="7" fillId="32" borderId="140" xfId="32" applyNumberFormat="1" applyBorder="1" applyProtection="1">
      <alignment vertical="center" wrapText="1"/>
    </xf>
    <xf numFmtId="9" fontId="7" fillId="32" borderId="147" xfId="32" applyNumberFormat="1" applyBorder="1" applyProtection="1">
      <alignment vertical="center" wrapText="1"/>
    </xf>
    <xf numFmtId="2" fontId="7" fillId="32" borderId="158" xfId="32" applyNumberFormat="1" applyBorder="1" applyProtection="1">
      <alignment vertical="center" wrapText="1"/>
    </xf>
    <xf numFmtId="2" fontId="7" fillId="32" borderId="70" xfId="32" applyNumberFormat="1" applyBorder="1" applyProtection="1">
      <alignment vertical="center" wrapText="1"/>
    </xf>
    <xf numFmtId="2" fontId="7" fillId="32" borderId="138" xfId="32" applyNumberFormat="1" applyBorder="1" applyProtection="1">
      <alignment vertical="center" wrapText="1"/>
    </xf>
    <xf numFmtId="2" fontId="7" fillId="32" borderId="146" xfId="32" applyNumberFormat="1" applyBorder="1" applyProtection="1">
      <alignment vertical="center" wrapText="1"/>
    </xf>
    <xf numFmtId="2" fontId="7" fillId="32" borderId="160" xfId="32" applyNumberFormat="1" applyBorder="1" applyProtection="1">
      <alignment vertical="center" wrapText="1"/>
    </xf>
    <xf numFmtId="2" fontId="7" fillId="32" borderId="161" xfId="32" applyNumberFormat="1" applyBorder="1" applyProtection="1">
      <alignment vertical="center" wrapText="1"/>
    </xf>
    <xf numFmtId="2" fontId="7" fillId="32" borderId="143" xfId="32" applyNumberFormat="1" applyBorder="1" applyProtection="1">
      <alignment vertical="center" wrapText="1"/>
    </xf>
    <xf numFmtId="2" fontId="7" fillId="32" borderId="147" xfId="32" applyNumberFormat="1" applyBorder="1" applyProtection="1">
      <alignment vertical="center" wrapText="1"/>
    </xf>
    <xf numFmtId="2" fontId="7" fillId="32" borderId="28" xfId="32" applyNumberFormat="1" applyBorder="1" applyProtection="1">
      <alignment vertical="center" wrapText="1"/>
    </xf>
    <xf numFmtId="9" fontId="7" fillId="32" borderId="155" xfId="32" applyNumberFormat="1" applyBorder="1" applyProtection="1">
      <alignment vertical="center" wrapText="1"/>
    </xf>
    <xf numFmtId="9" fontId="7" fillId="32" borderId="162" xfId="32" applyNumberFormat="1" applyBorder="1" applyProtection="1">
      <alignment vertical="center" wrapText="1"/>
    </xf>
    <xf numFmtId="0" fontId="7" fillId="33" borderId="154" xfId="12" applyNumberFormat="1" applyFont="1" applyBorder="1" applyProtection="1">
      <alignment horizontal="left" vertical="center" wrapText="1"/>
    </xf>
    <xf numFmtId="9" fontId="63" fillId="41" borderId="36" xfId="10" applyNumberFormat="1" applyFont="1" applyBorder="1">
      <alignment vertical="center"/>
      <protection locked="0" hidden="1"/>
    </xf>
    <xf numFmtId="9" fontId="63" fillId="41" borderId="150" xfId="10" applyNumberFormat="1" applyFont="1" applyBorder="1">
      <alignment vertical="center"/>
      <protection locked="0" hidden="1"/>
    </xf>
    <xf numFmtId="41" fontId="63" fillId="41" borderId="151" xfId="10" applyNumberFormat="1" applyFont="1" applyBorder="1">
      <alignment vertical="center"/>
      <protection locked="0" hidden="1"/>
    </xf>
    <xf numFmtId="0" fontId="63" fillId="41" borderId="138" xfId="10" applyNumberFormat="1" applyFont="1" applyBorder="1" applyAlignment="1">
      <alignment vertical="center" wrapText="1"/>
      <protection locked="0" hidden="1"/>
    </xf>
    <xf numFmtId="0" fontId="63" fillId="41" borderId="146" xfId="10" applyNumberFormat="1" applyFont="1" applyBorder="1">
      <alignment vertical="center"/>
      <protection locked="0" hidden="1"/>
    </xf>
    <xf numFmtId="41" fontId="63" fillId="41" borderId="146" xfId="10" applyNumberFormat="1" applyFont="1" applyBorder="1">
      <alignment vertical="center"/>
      <protection locked="0" hidden="1"/>
    </xf>
    <xf numFmtId="0" fontId="63" fillId="41" borderId="145" xfId="10" applyNumberFormat="1" applyFont="1" applyBorder="1" applyAlignment="1">
      <alignment vertical="center" wrapText="1"/>
      <protection locked="0" hidden="1"/>
    </xf>
    <xf numFmtId="0" fontId="63" fillId="41" borderId="149" xfId="10" applyNumberFormat="1" applyFont="1" applyBorder="1">
      <alignment vertical="center"/>
      <protection locked="0" hidden="1"/>
    </xf>
    <xf numFmtId="41" fontId="63" fillId="41" borderId="149" xfId="10" applyNumberFormat="1" applyFont="1" applyBorder="1">
      <alignment vertical="center"/>
      <protection locked="0" hidden="1"/>
    </xf>
    <xf numFmtId="0" fontId="74" fillId="27" borderId="112" xfId="37" applyNumberFormat="1" applyFont="1" applyBorder="1">
      <alignment vertical="center" wrapText="1"/>
      <protection locked="0"/>
    </xf>
    <xf numFmtId="0" fontId="63" fillId="41" borderId="143" xfId="10" applyNumberFormat="1" applyFont="1" applyBorder="1" applyAlignment="1">
      <alignment vertical="center" wrapText="1"/>
      <protection locked="0" hidden="1"/>
    </xf>
    <xf numFmtId="0" fontId="63" fillId="41" borderId="147" xfId="10" applyNumberFormat="1" applyFont="1" applyBorder="1">
      <alignment vertical="center"/>
      <protection locked="0" hidden="1"/>
    </xf>
    <xf numFmtId="41" fontId="63" fillId="41" borderId="147" xfId="10" applyNumberFormat="1" applyFont="1" applyBorder="1">
      <alignment vertical="center"/>
      <protection locked="0" hidden="1"/>
    </xf>
    <xf numFmtId="166" fontId="63" fillId="41" borderId="146" xfId="10" applyNumberFormat="1" applyFont="1" applyBorder="1">
      <alignment vertical="center"/>
      <protection locked="0" hidden="1"/>
    </xf>
    <xf numFmtId="166" fontId="63" fillId="41" borderId="149" xfId="10" applyNumberFormat="1" applyFont="1" applyBorder="1">
      <alignment vertical="center"/>
      <protection locked="0" hidden="1"/>
    </xf>
    <xf numFmtId="0" fontId="63" fillId="41" borderId="150" xfId="10" applyNumberFormat="1" applyFont="1" applyBorder="1" applyAlignment="1">
      <alignment vertical="center" wrapText="1"/>
      <protection locked="0" hidden="1"/>
    </xf>
    <xf numFmtId="41" fontId="63" fillId="41" borderId="138" xfId="10" applyNumberFormat="1" applyFont="1" applyBorder="1">
      <alignment vertical="center"/>
      <protection locked="0" hidden="1"/>
    </xf>
    <xf numFmtId="0" fontId="63" fillId="41" borderId="142" xfId="10" applyNumberFormat="1" applyFont="1" applyBorder="1" applyAlignment="1">
      <alignment vertical="center" wrapText="1"/>
      <protection locked="0" hidden="1"/>
    </xf>
    <xf numFmtId="0" fontId="63" fillId="41" borderId="151" xfId="10" applyNumberFormat="1" applyFont="1" applyBorder="1" applyAlignment="1">
      <alignment vertical="center" wrapText="1"/>
      <protection locked="0" hidden="1"/>
    </xf>
    <xf numFmtId="166" fontId="63" fillId="41" borderId="138" xfId="10" applyNumberFormat="1" applyFont="1" applyBorder="1">
      <alignment vertical="center"/>
      <protection locked="0" hidden="1"/>
    </xf>
    <xf numFmtId="41" fontId="63" fillId="26" borderId="146" xfId="3" applyNumberFormat="1" applyFont="1" applyBorder="1" applyProtection="1">
      <alignment vertical="center" wrapText="1"/>
      <protection locked="0"/>
    </xf>
    <xf numFmtId="0" fontId="63" fillId="41" borderId="145" xfId="10" applyNumberFormat="1" applyFont="1" applyBorder="1">
      <alignment vertical="center"/>
      <protection locked="0" hidden="1"/>
    </xf>
    <xf numFmtId="41" fontId="63" fillId="26" borderId="149" xfId="3" applyNumberFormat="1" applyFont="1" applyBorder="1" applyProtection="1">
      <alignment vertical="center" wrapText="1"/>
      <protection locked="0"/>
    </xf>
    <xf numFmtId="166" fontId="63" fillId="41" borderId="147" xfId="10" applyNumberFormat="1" applyFont="1" applyBorder="1">
      <alignment vertical="center"/>
      <protection locked="0" hidden="1"/>
    </xf>
    <xf numFmtId="41" fontId="63" fillId="26" borderId="147" xfId="3" applyNumberFormat="1" applyFont="1" applyBorder="1" applyProtection="1">
      <alignment vertical="center" wrapText="1"/>
      <protection locked="0"/>
    </xf>
    <xf numFmtId="168" fontId="63" fillId="41" borderId="146" xfId="10" applyNumberFormat="1" applyFont="1" applyBorder="1">
      <alignment vertical="center"/>
      <protection locked="0" hidden="1"/>
    </xf>
    <xf numFmtId="168" fontId="63" fillId="41" borderId="149" xfId="10" applyNumberFormat="1" applyFont="1" applyBorder="1">
      <alignment vertical="center"/>
      <protection locked="0" hidden="1"/>
    </xf>
    <xf numFmtId="168" fontId="63" fillId="41" borderId="147" xfId="10" applyNumberFormat="1" applyFont="1" applyBorder="1">
      <alignment vertical="center"/>
      <protection locked="0" hidden="1"/>
    </xf>
    <xf numFmtId="0" fontId="63" fillId="41" borderId="142" xfId="10" applyNumberFormat="1" applyFont="1" applyBorder="1">
      <alignment vertical="center"/>
      <protection locked="0" hidden="1"/>
    </xf>
    <xf numFmtId="0" fontId="63" fillId="41" borderId="151" xfId="10" applyNumberFormat="1" applyFont="1" applyBorder="1">
      <alignment vertical="center"/>
      <protection locked="0" hidden="1"/>
    </xf>
    <xf numFmtId="166" fontId="63" fillId="41" borderId="141" xfId="10" applyNumberFormat="1" applyFont="1" applyBorder="1">
      <alignment vertical="center"/>
      <protection locked="0" hidden="1"/>
    </xf>
    <xf numFmtId="0" fontId="63" fillId="41" borderId="148" xfId="10" applyNumberFormat="1" applyFont="1" applyBorder="1">
      <alignment vertical="center"/>
      <protection locked="0" hidden="1"/>
    </xf>
    <xf numFmtId="9" fontId="63" fillId="41" borderId="141" xfId="10" applyNumberFormat="1" applyFont="1" applyBorder="1">
      <alignment vertical="center"/>
      <protection locked="0" hidden="1"/>
    </xf>
    <xf numFmtId="0" fontId="63" fillId="41" borderId="141" xfId="10" applyNumberFormat="1" applyFont="1" applyBorder="1">
      <alignment vertical="center"/>
      <protection locked="0" hidden="1"/>
    </xf>
    <xf numFmtId="9" fontId="63" fillId="41" borderId="148" xfId="10" applyNumberFormat="1" applyFont="1" applyBorder="1">
      <alignment vertical="center"/>
      <protection locked="0" hidden="1"/>
    </xf>
    <xf numFmtId="9" fontId="63" fillId="41" borderId="144" xfId="10" applyNumberFormat="1" applyFont="1" applyBorder="1">
      <alignment vertical="center"/>
      <protection locked="0" hidden="1"/>
    </xf>
    <xf numFmtId="0" fontId="63" fillId="41" borderId="144" xfId="10" applyNumberFormat="1" applyFont="1" applyBorder="1">
      <alignment vertical="center"/>
      <protection locked="0" hidden="1"/>
    </xf>
    <xf numFmtId="9" fontId="63" fillId="41" borderId="152" xfId="10" applyNumberFormat="1" applyFont="1" applyBorder="1">
      <alignment vertical="center"/>
      <protection locked="0" hidden="1"/>
    </xf>
    <xf numFmtId="9" fontId="63" fillId="41" borderId="140" xfId="10" applyNumberFormat="1" applyFont="1" applyBorder="1">
      <alignment vertical="center"/>
      <protection locked="0" hidden="1"/>
    </xf>
    <xf numFmtId="9" fontId="63" fillId="41" borderId="153" xfId="10" applyNumberFormat="1" applyFont="1" applyBorder="1">
      <alignment vertical="center"/>
      <protection locked="0" hidden="1"/>
    </xf>
    <xf numFmtId="0" fontId="63" fillId="41" borderId="152" xfId="10" applyNumberFormat="1" applyFont="1" applyBorder="1">
      <alignment vertical="center"/>
      <protection locked="0" hidden="1"/>
    </xf>
    <xf numFmtId="0" fontId="63" fillId="41" borderId="140" xfId="10" applyNumberFormat="1" applyFont="1" applyBorder="1">
      <alignment vertical="center"/>
      <protection locked="0" hidden="1"/>
    </xf>
    <xf numFmtId="0" fontId="63" fillId="41" borderId="153" xfId="10" applyNumberFormat="1" applyFont="1" applyBorder="1">
      <alignment vertical="center"/>
      <protection locked="0" hidden="1"/>
    </xf>
    <xf numFmtId="166" fontId="63" fillId="41" borderId="36" xfId="10" applyNumberFormat="1" applyFont="1" applyBorder="1">
      <alignment vertical="center"/>
      <protection locked="0" hidden="1"/>
    </xf>
    <xf numFmtId="165" fontId="74" fillId="27" borderId="113" xfId="37" applyNumberFormat="1" applyFont="1" applyBorder="1">
      <alignment vertical="center" wrapText="1"/>
      <protection locked="0"/>
    </xf>
    <xf numFmtId="9" fontId="63" fillId="41" borderId="151" xfId="10" applyNumberFormat="1" applyFont="1" applyBorder="1">
      <alignment vertical="center"/>
      <protection locked="0" hidden="1"/>
    </xf>
    <xf numFmtId="165" fontId="74" fillId="27" borderId="74" xfId="37" applyNumberFormat="1" applyFont="1" applyBorder="1">
      <alignment vertical="center" wrapText="1"/>
      <protection locked="0"/>
    </xf>
    <xf numFmtId="165" fontId="74" fillId="27" borderId="67" xfId="37" applyNumberFormat="1" applyFont="1" applyBorder="1">
      <alignment vertical="center" wrapText="1"/>
      <protection locked="0"/>
    </xf>
    <xf numFmtId="165" fontId="63" fillId="41" borderId="150" xfId="10" applyNumberFormat="1" applyFont="1" applyBorder="1">
      <alignment vertical="center"/>
      <protection locked="0" hidden="1"/>
    </xf>
    <xf numFmtId="9" fontId="63" fillId="41" borderId="142" xfId="10" applyNumberFormat="1" applyFont="1" applyBorder="1">
      <alignment vertical="center"/>
      <protection locked="0" hidden="1"/>
    </xf>
    <xf numFmtId="165" fontId="63" fillId="41" borderId="142" xfId="10" applyNumberFormat="1" applyFont="1" applyBorder="1">
      <alignment vertical="center"/>
      <protection locked="0" hidden="1"/>
    </xf>
    <xf numFmtId="165" fontId="63" fillId="41" borderId="151" xfId="10" applyNumberFormat="1" applyFont="1" applyBorder="1">
      <alignment vertical="center"/>
      <protection locked="0" hidden="1"/>
    </xf>
    <xf numFmtId="0" fontId="63" fillId="41" borderId="138" xfId="10" applyFont="1" applyBorder="1" applyAlignment="1">
      <alignment vertical="center" wrapText="1"/>
      <protection locked="0" hidden="1"/>
    </xf>
    <xf numFmtId="9" fontId="63" fillId="41" borderId="146" xfId="10" applyNumberFormat="1" applyFont="1" applyBorder="1">
      <alignment vertical="center"/>
      <protection locked="0" hidden="1"/>
    </xf>
    <xf numFmtId="0" fontId="63" fillId="41" borderId="145" xfId="10" applyFont="1" applyBorder="1" applyAlignment="1">
      <alignment vertical="center" wrapText="1"/>
      <protection locked="0" hidden="1"/>
    </xf>
    <xf numFmtId="9" fontId="63" fillId="41" borderId="149" xfId="10" applyNumberFormat="1" applyFont="1" applyBorder="1">
      <alignment vertical="center"/>
      <protection locked="0" hidden="1"/>
    </xf>
    <xf numFmtId="0" fontId="63" fillId="41" borderId="143" xfId="10" applyFont="1" applyBorder="1" applyAlignment="1">
      <alignment vertical="center" wrapText="1"/>
      <protection locked="0" hidden="1"/>
    </xf>
    <xf numFmtId="9" fontId="63" fillId="41" borderId="147" xfId="10" applyNumberFormat="1" applyFont="1" applyBorder="1">
      <alignment vertical="center"/>
      <protection locked="0" hidden="1"/>
    </xf>
    <xf numFmtId="41" fontId="63" fillId="41" borderId="139" xfId="10" applyNumberFormat="1" applyFont="1" applyBorder="1">
      <alignment vertical="center"/>
      <protection locked="0" hidden="1"/>
    </xf>
    <xf numFmtId="41" fontId="63" fillId="41" borderId="141" xfId="10" applyNumberFormat="1" applyFont="1" applyBorder="1">
      <alignment vertical="center"/>
      <protection locked="0" hidden="1"/>
    </xf>
    <xf numFmtId="41" fontId="63" fillId="41" borderId="144" xfId="10" applyNumberFormat="1" applyFont="1" applyBorder="1">
      <alignment vertical="center"/>
      <protection locked="0" hidden="1"/>
    </xf>
    <xf numFmtId="164" fontId="63" fillId="41" borderId="150" xfId="10" applyNumberFormat="1" applyFont="1" applyBorder="1">
      <alignment vertical="center"/>
      <protection locked="0" hidden="1"/>
    </xf>
    <xf numFmtId="164" fontId="63" fillId="41" borderId="145" xfId="10" applyNumberFormat="1" applyFont="1" applyBorder="1">
      <alignment vertical="center"/>
      <protection locked="0" hidden="1"/>
    </xf>
    <xf numFmtId="164" fontId="63" fillId="41" borderId="148" xfId="10" applyNumberFormat="1" applyFont="1" applyBorder="1">
      <alignment vertical="center"/>
      <protection locked="0" hidden="1"/>
    </xf>
    <xf numFmtId="41" fontId="63" fillId="41" borderId="150" xfId="10" applyNumberFormat="1" applyFont="1" applyBorder="1">
      <alignment vertical="center"/>
      <protection locked="0" hidden="1"/>
    </xf>
    <xf numFmtId="0" fontId="63" fillId="41" borderId="100" xfId="10" applyNumberFormat="1" applyFont="1" applyBorder="1">
      <alignment vertical="center"/>
      <protection locked="0" hidden="1"/>
    </xf>
    <xf numFmtId="0" fontId="63" fillId="41" borderId="139" xfId="10" applyNumberFormat="1" applyFont="1" applyBorder="1">
      <alignment vertical="center"/>
      <protection locked="0" hidden="1"/>
    </xf>
    <xf numFmtId="0" fontId="63" fillId="41" borderId="138" xfId="10" applyFont="1" applyBorder="1" applyAlignment="1">
      <alignment horizontal="center" textRotation="90" wrapText="1"/>
      <protection locked="0" hidden="1"/>
    </xf>
    <xf numFmtId="0" fontId="63" fillId="41" borderId="146" xfId="10" applyFont="1" applyBorder="1" applyAlignment="1">
      <alignment horizontal="center" textRotation="90" wrapText="1"/>
      <protection locked="0" hidden="1"/>
    </xf>
    <xf numFmtId="0" fontId="63" fillId="41" borderId="141" xfId="10" applyFont="1" applyBorder="1" applyAlignment="1">
      <alignment horizontal="center" textRotation="90" wrapText="1"/>
      <protection locked="0" hidden="1"/>
    </xf>
    <xf numFmtId="165" fontId="63" fillId="41" borderId="141" xfId="10" applyNumberFormat="1" applyFont="1" applyBorder="1">
      <alignment vertical="center"/>
      <protection locked="0" hidden="1"/>
    </xf>
    <xf numFmtId="165" fontId="63" fillId="41" borderId="138" xfId="10" applyNumberFormat="1" applyFont="1" applyBorder="1">
      <alignment vertical="center"/>
      <protection locked="0" hidden="1"/>
    </xf>
    <xf numFmtId="165" fontId="63" fillId="41" borderId="149" xfId="10" applyNumberFormat="1" applyFont="1" applyBorder="1">
      <alignment vertical="center"/>
      <protection locked="0" hidden="1"/>
    </xf>
    <xf numFmtId="165" fontId="63" fillId="41" borderId="148" xfId="10" applyNumberFormat="1" applyFont="1" applyBorder="1">
      <alignment vertical="center"/>
      <protection locked="0" hidden="1"/>
    </xf>
    <xf numFmtId="165" fontId="63" fillId="41" borderId="145" xfId="10" applyNumberFormat="1" applyFont="1" applyBorder="1">
      <alignment vertical="center"/>
      <protection locked="0" hidden="1"/>
    </xf>
    <xf numFmtId="165" fontId="63" fillId="41" borderId="144" xfId="10" applyNumberFormat="1" applyFont="1" applyBorder="1">
      <alignment vertical="center"/>
      <protection locked="0" hidden="1"/>
    </xf>
    <xf numFmtId="0" fontId="63" fillId="41" borderId="151" xfId="10" applyFont="1" applyBorder="1" applyAlignment="1">
      <alignment vertical="center" wrapText="1"/>
      <protection locked="0" hidden="1"/>
    </xf>
    <xf numFmtId="165" fontId="63" fillId="41" borderId="143" xfId="10" applyNumberFormat="1" applyFont="1" applyBorder="1">
      <alignment vertical="center"/>
      <protection locked="0" hidden="1"/>
    </xf>
    <xf numFmtId="165" fontId="63" fillId="41" borderId="147" xfId="10" applyNumberFormat="1" applyFont="1" applyBorder="1">
      <alignment vertical="center"/>
      <protection locked="0" hidden="1"/>
    </xf>
    <xf numFmtId="167" fontId="63" fillId="41" borderId="143" xfId="10" applyNumberFormat="1" applyFont="1" applyBorder="1">
      <alignment vertical="center"/>
      <protection locked="0" hidden="1"/>
    </xf>
    <xf numFmtId="167" fontId="63" fillId="41" borderId="147" xfId="10" applyNumberFormat="1" applyFont="1" applyBorder="1">
      <alignment vertical="center"/>
      <protection locked="0" hidden="1"/>
    </xf>
    <xf numFmtId="167" fontId="63" fillId="41" borderId="138" xfId="10" applyNumberFormat="1" applyFont="1" applyBorder="1">
      <alignment vertical="center"/>
      <protection locked="0" hidden="1"/>
    </xf>
    <xf numFmtId="167" fontId="63" fillId="41" borderId="146" xfId="10" applyNumberFormat="1" applyFont="1" applyBorder="1">
      <alignment vertical="center"/>
      <protection locked="0" hidden="1"/>
    </xf>
    <xf numFmtId="41" fontId="75" fillId="41" borderId="143" xfId="1" applyFont="1" applyFill="1" applyBorder="1" applyAlignment="1" applyProtection="1">
      <alignment vertical="center"/>
      <protection locked="0"/>
    </xf>
    <xf numFmtId="41" fontId="75" fillId="41" borderId="147" xfId="1" applyFont="1" applyFill="1" applyBorder="1" applyAlignment="1" applyProtection="1">
      <alignment vertical="center"/>
      <protection locked="0"/>
    </xf>
    <xf numFmtId="167" fontId="63" fillId="41" borderId="145" xfId="10" applyNumberFormat="1" applyFont="1" applyBorder="1">
      <alignment vertical="center"/>
      <protection locked="0" hidden="1"/>
    </xf>
    <xf numFmtId="167" fontId="63" fillId="41" borderId="149" xfId="10" applyNumberFormat="1" applyFont="1" applyBorder="1">
      <alignment vertical="center"/>
      <protection locked="0" hidden="1"/>
    </xf>
    <xf numFmtId="0" fontId="7" fillId="0" borderId="0" xfId="0" applyFont="1" applyBorder="1" applyAlignment="1">
      <alignment horizontal="center" wrapText="1"/>
    </xf>
    <xf numFmtId="0" fontId="0" fillId="0" borderId="0" xfId="0"/>
    <xf numFmtId="171" fontId="57" fillId="40" borderId="0" xfId="2" applyNumberFormat="1" applyFont="1" applyFill="1" applyBorder="1" applyAlignment="1">
      <alignment horizontal="right"/>
    </xf>
    <xf numFmtId="171" fontId="63" fillId="41" borderId="150" xfId="10" applyNumberFormat="1" applyFont="1" applyBorder="1">
      <alignment vertical="center"/>
      <protection locked="0" hidden="1"/>
    </xf>
    <xf numFmtId="172" fontId="3" fillId="26" borderId="27" xfId="3" applyNumberFormat="1" applyBorder="1">
      <alignment vertical="center" wrapText="1"/>
    </xf>
    <xf numFmtId="171" fontId="63" fillId="41" borderId="142" xfId="10" applyNumberFormat="1" applyFont="1" applyBorder="1">
      <alignment vertical="center"/>
      <protection locked="0" hidden="1"/>
    </xf>
    <xf numFmtId="171" fontId="63" fillId="41" borderId="151" xfId="10" applyNumberFormat="1" applyFont="1" applyBorder="1">
      <alignment vertical="center"/>
      <protection locked="0" hidden="1"/>
    </xf>
    <xf numFmtId="171" fontId="7" fillId="32" borderId="50" xfId="32" applyNumberFormat="1" applyBorder="1">
      <alignment vertical="center" wrapText="1"/>
    </xf>
    <xf numFmtId="172" fontId="7" fillId="32" borderId="28" xfId="32" applyNumberFormat="1" applyBorder="1">
      <alignment vertical="center" wrapText="1"/>
    </xf>
    <xf numFmtId="173" fontId="3" fillId="26" borderId="27" xfId="3" applyNumberFormat="1" applyBorder="1">
      <alignment vertical="center" wrapText="1"/>
    </xf>
    <xf numFmtId="171" fontId="7" fillId="32" borderId="77" xfId="32" applyNumberFormat="1" applyBorder="1">
      <alignment vertical="center" wrapText="1"/>
    </xf>
    <xf numFmtId="174" fontId="3" fillId="26" borderId="27" xfId="3" applyNumberFormat="1" applyBorder="1">
      <alignment vertical="center" wrapText="1"/>
    </xf>
    <xf numFmtId="171" fontId="63" fillId="41" borderId="146" xfId="10" applyNumberFormat="1" applyFont="1" applyBorder="1">
      <alignment vertical="center"/>
      <protection locked="0" hidden="1"/>
    </xf>
    <xf numFmtId="171" fontId="63" fillId="41" borderId="141" xfId="10" applyNumberFormat="1" applyFont="1" applyBorder="1">
      <alignment vertical="center"/>
      <protection locked="0" hidden="1"/>
    </xf>
    <xf numFmtId="171" fontId="3" fillId="26" borderId="63" xfId="3" applyNumberFormat="1" applyBorder="1">
      <alignment vertical="center" wrapText="1"/>
    </xf>
    <xf numFmtId="171" fontId="63" fillId="41" borderId="149" xfId="10" applyNumberFormat="1" applyFont="1" applyBorder="1">
      <alignment vertical="center"/>
      <protection locked="0" hidden="1"/>
    </xf>
    <xf numFmtId="171" fontId="63" fillId="41" borderId="148" xfId="10" applyNumberFormat="1" applyFont="1" applyBorder="1">
      <alignment vertical="center"/>
      <protection locked="0" hidden="1"/>
    </xf>
    <xf numFmtId="171" fontId="63" fillId="41" borderId="147" xfId="10" applyNumberFormat="1" applyFont="1" applyBorder="1">
      <alignment vertical="center"/>
      <protection locked="0" hidden="1"/>
    </xf>
    <xf numFmtId="171" fontId="63" fillId="41" borderId="144" xfId="10" applyNumberFormat="1" applyFont="1" applyBorder="1">
      <alignment vertical="center"/>
      <protection locked="0" hidden="1"/>
    </xf>
    <xf numFmtId="173" fontId="63" fillId="41" borderId="148" xfId="10" applyNumberFormat="1" applyFont="1" applyBorder="1">
      <alignment vertical="center"/>
      <protection locked="0" hidden="1"/>
    </xf>
    <xf numFmtId="173" fontId="7" fillId="32" borderId="28" xfId="32" applyNumberFormat="1" applyBorder="1">
      <alignment vertical="center" wrapText="1"/>
    </xf>
    <xf numFmtId="171" fontId="63" fillId="41" borderId="143" xfId="10" applyNumberFormat="1" applyFont="1" applyBorder="1">
      <alignment vertical="center"/>
      <protection locked="0" hidden="1"/>
    </xf>
    <xf numFmtId="173" fontId="7" fillId="32" borderId="65" xfId="32" applyNumberFormat="1" applyBorder="1">
      <alignment vertical="center" wrapText="1"/>
    </xf>
    <xf numFmtId="173" fontId="7" fillId="32" borderId="35" xfId="32" applyNumberFormat="1" applyBorder="1">
      <alignment vertical="center" wrapText="1"/>
    </xf>
    <xf numFmtId="173" fontId="63" fillId="41" borderId="152" xfId="10" applyNumberFormat="1" applyFont="1" applyBorder="1">
      <alignment vertical="center"/>
      <protection locked="0" hidden="1"/>
    </xf>
    <xf numFmtId="173" fontId="63" fillId="41" borderId="140" xfId="10" applyNumberFormat="1" applyFont="1" applyBorder="1">
      <alignment vertical="center"/>
      <protection locked="0" hidden="1"/>
    </xf>
    <xf numFmtId="173" fontId="63" fillId="41" borderId="153" xfId="10" applyNumberFormat="1" applyFont="1" applyBorder="1">
      <alignment vertical="center"/>
      <protection locked="0" hidden="1"/>
    </xf>
    <xf numFmtId="173" fontId="7" fillId="32" borderId="69" xfId="32" applyNumberFormat="1" applyBorder="1">
      <alignment vertical="center" wrapText="1"/>
    </xf>
    <xf numFmtId="173" fontId="7" fillId="32" borderId="50" xfId="32" applyNumberFormat="1" applyBorder="1">
      <alignment vertical="center" wrapText="1"/>
    </xf>
    <xf numFmtId="173" fontId="14" fillId="0" borderId="0" xfId="0" applyNumberFormat="1" applyFont="1" applyBorder="1"/>
    <xf numFmtId="173" fontId="7" fillId="32" borderId="77" xfId="32" applyNumberFormat="1" applyBorder="1">
      <alignment vertical="center" wrapText="1"/>
    </xf>
    <xf numFmtId="172" fontId="14" fillId="2" borderId="0" xfId="0" applyNumberFormat="1" applyFont="1" applyFill="1" applyBorder="1"/>
    <xf numFmtId="171" fontId="3" fillId="26" borderId="69" xfId="3" applyNumberFormat="1" applyBorder="1">
      <alignment vertical="center" wrapText="1"/>
    </xf>
    <xf numFmtId="173" fontId="7" fillId="32" borderId="96" xfId="32" applyNumberFormat="1" applyBorder="1">
      <alignment vertical="center" wrapText="1"/>
    </xf>
    <xf numFmtId="173" fontId="7" fillId="32" borderId="71" xfId="32" applyNumberFormat="1" applyBorder="1">
      <alignment vertical="center" wrapText="1"/>
    </xf>
    <xf numFmtId="171" fontId="63" fillId="41" borderId="36" xfId="10" applyNumberFormat="1" applyFont="1" applyBorder="1" applyAlignment="1">
      <alignment vertical="center"/>
      <protection locked="0" hidden="1"/>
    </xf>
    <xf numFmtId="171" fontId="3" fillId="26" borderId="31" xfId="3" applyNumberFormat="1" applyBorder="1">
      <alignment vertical="center" wrapText="1"/>
    </xf>
    <xf numFmtId="171" fontId="3" fillId="26" borderId="31" xfId="2" applyNumberFormat="1" applyFont="1" applyFill="1" applyBorder="1" applyAlignment="1">
      <alignment vertical="center" wrapText="1"/>
    </xf>
    <xf numFmtId="173" fontId="3" fillId="26" borderId="27" xfId="2" applyNumberFormat="1" applyFont="1" applyFill="1" applyBorder="1" applyAlignment="1">
      <alignment vertical="center" wrapText="1"/>
    </xf>
    <xf numFmtId="171" fontId="3" fillId="26" borderId="27" xfId="2" applyNumberFormat="1" applyFont="1" applyFill="1" applyBorder="1" applyAlignment="1">
      <alignment vertical="center" wrapText="1"/>
    </xf>
    <xf numFmtId="171" fontId="3" fillId="26" borderId="30" xfId="2" applyNumberFormat="1" applyFont="1" applyFill="1" applyBorder="1" applyAlignment="1">
      <alignment vertical="center" wrapText="1"/>
    </xf>
    <xf numFmtId="171" fontId="3" fillId="32" borderId="28" xfId="2" applyNumberFormat="1" applyFont="1" applyFill="1" applyBorder="1" applyAlignment="1">
      <alignment vertical="center" wrapText="1"/>
    </xf>
    <xf numFmtId="173" fontId="3" fillId="26" borderId="30" xfId="2" applyNumberFormat="1" applyFont="1" applyFill="1" applyBorder="1" applyAlignment="1">
      <alignment vertical="center" wrapText="1"/>
    </xf>
    <xf numFmtId="173" fontId="3" fillId="26" borderId="31" xfId="3" applyNumberFormat="1" applyBorder="1">
      <alignment vertical="center" wrapText="1"/>
    </xf>
    <xf numFmtId="173" fontId="63" fillId="41" borderId="146" xfId="10" applyNumberFormat="1" applyFont="1" applyBorder="1">
      <alignment vertical="center"/>
      <protection locked="0" hidden="1"/>
    </xf>
    <xf numFmtId="173" fontId="63" fillId="41" borderId="141" xfId="10" applyNumberFormat="1" applyFont="1" applyBorder="1">
      <alignment vertical="center"/>
      <protection locked="0" hidden="1"/>
    </xf>
    <xf numFmtId="173" fontId="3" fillId="26" borderId="63" xfId="3" applyNumberFormat="1" applyBorder="1">
      <alignment vertical="center" wrapText="1"/>
    </xf>
    <xf numFmtId="173" fontId="63" fillId="41" borderId="149" xfId="10" applyNumberFormat="1" applyFont="1" applyBorder="1">
      <alignment vertical="center"/>
      <protection locked="0" hidden="1"/>
    </xf>
    <xf numFmtId="173" fontId="63" fillId="41" borderId="147" xfId="10" applyNumberFormat="1" applyFont="1" applyBorder="1">
      <alignment vertical="center"/>
      <protection locked="0" hidden="1"/>
    </xf>
    <xf numFmtId="173" fontId="63" fillId="41" borderId="144" xfId="10" applyNumberFormat="1" applyFont="1" applyBorder="1">
      <alignment vertical="center"/>
      <protection locked="0" hidden="1"/>
    </xf>
    <xf numFmtId="173" fontId="0" fillId="0" borderId="0" xfId="0" applyNumberFormat="1" applyBorder="1"/>
    <xf numFmtId="172" fontId="63" fillId="41" borderId="152" xfId="10" applyNumberFormat="1" applyFont="1" applyBorder="1">
      <alignment vertical="center"/>
      <protection locked="0" hidden="1"/>
    </xf>
    <xf numFmtId="172" fontId="63" fillId="41" borderId="153" xfId="10" applyNumberFormat="1" applyFont="1" applyBorder="1">
      <alignment vertical="center"/>
      <protection locked="0" hidden="1"/>
    </xf>
    <xf numFmtId="171" fontId="3" fillId="26" borderId="35" xfId="3" applyNumberFormat="1" applyBorder="1">
      <alignment vertical="center" wrapText="1"/>
    </xf>
    <xf numFmtId="171" fontId="63" fillId="41" borderId="139" xfId="10" applyNumberFormat="1" applyFont="1" applyBorder="1">
      <alignment vertical="center"/>
      <protection locked="0" hidden="1"/>
    </xf>
    <xf numFmtId="171" fontId="7" fillId="32" borderId="69" xfId="32" applyNumberFormat="1" applyBorder="1">
      <alignment vertical="center" wrapText="1"/>
    </xf>
    <xf numFmtId="171" fontId="18" fillId="26" borderId="27" xfId="3" applyNumberFormat="1" applyFont="1" applyBorder="1">
      <alignment vertical="center" wrapText="1"/>
    </xf>
    <xf numFmtId="171" fontId="17" fillId="32" borderId="77" xfId="32" applyNumberFormat="1" applyFont="1" applyBorder="1">
      <alignment vertical="center" wrapText="1"/>
    </xf>
    <xf numFmtId="171" fontId="17" fillId="32" borderId="28" xfId="32" applyNumberFormat="1" applyFont="1" applyBorder="1">
      <alignment vertical="center" wrapText="1"/>
    </xf>
    <xf numFmtId="171" fontId="3" fillId="26" borderId="86" xfId="3" applyNumberFormat="1" applyBorder="1">
      <alignment vertical="center" wrapText="1"/>
    </xf>
    <xf numFmtId="171" fontId="3" fillId="26" borderId="30" xfId="3" applyNumberFormat="1" applyBorder="1">
      <alignment vertical="center" wrapText="1"/>
    </xf>
    <xf numFmtId="172" fontId="0" fillId="0" borderId="0" xfId="0" applyNumberFormat="1" applyBorder="1"/>
    <xf numFmtId="173" fontId="3" fillId="26" borderId="69" xfId="3" applyNumberFormat="1" applyBorder="1">
      <alignment vertical="center" wrapText="1"/>
    </xf>
    <xf numFmtId="173" fontId="3" fillId="26" borderId="50" xfId="3" applyNumberFormat="1" applyBorder="1">
      <alignment vertical="center" wrapText="1"/>
    </xf>
    <xf numFmtId="171" fontId="0" fillId="0" borderId="0" xfId="0" applyNumberFormat="1" applyFont="1" applyFill="1" applyBorder="1" applyAlignment="1">
      <alignment vertical="center" wrapText="1"/>
    </xf>
    <xf numFmtId="173" fontId="0" fillId="0" borderId="0" xfId="0" applyNumberFormat="1" applyFill="1" applyBorder="1"/>
    <xf numFmtId="171" fontId="0" fillId="0" borderId="0" xfId="0" applyNumberFormat="1" applyFont="1" applyFill="1" applyBorder="1"/>
    <xf numFmtId="171" fontId="0" fillId="0" borderId="0" xfId="0" applyNumberFormat="1" applyFont="1" applyBorder="1"/>
    <xf numFmtId="171" fontId="0" fillId="0" borderId="0" xfId="0" applyNumberFormat="1" applyFont="1" applyBorder="1" applyAlignment="1">
      <alignment vertical="center" wrapText="1"/>
    </xf>
    <xf numFmtId="173" fontId="14" fillId="0" borderId="0" xfId="0" applyNumberFormat="1" applyFont="1" applyFill="1" applyBorder="1"/>
    <xf numFmtId="171" fontId="3" fillId="26" borderId="27" xfId="2" applyNumberFormat="1" applyFont="1" applyFill="1" applyBorder="1" applyAlignment="1" applyProtection="1">
      <alignment vertical="center" wrapText="1"/>
      <protection locked="0"/>
    </xf>
    <xf numFmtId="173" fontId="3" fillId="26" borderId="27" xfId="2" applyNumberFormat="1" applyFont="1" applyFill="1" applyBorder="1" applyAlignment="1" applyProtection="1">
      <alignment vertical="center" wrapText="1"/>
      <protection locked="0"/>
    </xf>
    <xf numFmtId="173" fontId="44" fillId="0" borderId="0" xfId="4" applyNumberFormat="1" applyFont="1" applyBorder="1" applyAlignment="1">
      <alignment wrapText="1"/>
    </xf>
    <xf numFmtId="171" fontId="3" fillId="38" borderId="27" xfId="3" applyNumberFormat="1" applyFill="1" applyBorder="1">
      <alignment vertical="center" wrapText="1"/>
    </xf>
    <xf numFmtId="171" fontId="3" fillId="6" borderId="0" xfId="2" applyNumberFormat="1" applyFont="1" applyFill="1" applyBorder="1"/>
    <xf numFmtId="171" fontId="3" fillId="26" borderId="30" xfId="2" applyNumberFormat="1" applyFont="1" applyFill="1" applyBorder="1" applyAlignment="1">
      <alignment vertical="center"/>
    </xf>
    <xf numFmtId="171" fontId="26" fillId="0" borderId="0" xfId="0" applyNumberFormat="1" applyFont="1" applyBorder="1"/>
    <xf numFmtId="171" fontId="7" fillId="32" borderId="28" xfId="2" applyNumberFormat="1" applyFont="1" applyFill="1" applyBorder="1" applyAlignment="1">
      <alignment vertical="center" wrapText="1"/>
    </xf>
    <xf numFmtId="171" fontId="65" fillId="32" borderId="28" xfId="32" applyNumberFormat="1" applyFont="1" applyBorder="1">
      <alignment vertical="center" wrapText="1"/>
    </xf>
    <xf numFmtId="172" fontId="65" fillId="32" borderId="28" xfId="2" applyNumberFormat="1" applyFont="1" applyFill="1" applyBorder="1" applyAlignment="1">
      <alignment vertical="center" wrapText="1"/>
    </xf>
    <xf numFmtId="171" fontId="3" fillId="22" borderId="27" xfId="3" applyNumberFormat="1" applyFill="1" applyBorder="1">
      <alignment vertical="center" wrapText="1"/>
    </xf>
    <xf numFmtId="173" fontId="64" fillId="26" borderId="27" xfId="3" applyNumberFormat="1" applyFont="1" applyBorder="1">
      <alignment vertical="center" wrapText="1"/>
    </xf>
    <xf numFmtId="173" fontId="15" fillId="26" borderId="30" xfId="3" applyNumberFormat="1" applyFont="1" applyBorder="1" applyAlignment="1">
      <alignment vertical="center"/>
    </xf>
    <xf numFmtId="173" fontId="15" fillId="26" borderId="51" xfId="3" applyNumberFormat="1" applyFont="1" applyBorder="1" applyAlignment="1">
      <alignment vertical="center"/>
    </xf>
    <xf numFmtId="173" fontId="3" fillId="26" borderId="54" xfId="3" applyNumberFormat="1" applyBorder="1" applyAlignment="1">
      <alignment vertical="center"/>
    </xf>
    <xf numFmtId="173" fontId="3" fillId="26" borderId="55" xfId="3" applyNumberFormat="1" applyBorder="1" applyAlignment="1">
      <alignment vertical="center"/>
    </xf>
    <xf numFmtId="173" fontId="3" fillId="26" borderId="56" xfId="3" applyNumberFormat="1" applyBorder="1" applyAlignment="1">
      <alignment vertical="center"/>
    </xf>
    <xf numFmtId="173" fontId="15" fillId="26" borderId="52" xfId="3" applyNumberFormat="1" applyFont="1" applyBorder="1" applyAlignment="1">
      <alignment vertical="center"/>
    </xf>
    <xf numFmtId="173" fontId="3" fillId="26" borderId="50" xfId="3" applyNumberFormat="1" applyBorder="1" applyAlignment="1">
      <alignment vertical="center"/>
    </xf>
    <xf numFmtId="173" fontId="3" fillId="0" borderId="58" xfId="0" applyNumberFormat="1" applyFont="1" applyBorder="1"/>
    <xf numFmtId="173" fontId="15" fillId="0" borderId="4" xfId="0" applyNumberFormat="1" applyFont="1" applyBorder="1"/>
    <xf numFmtId="173" fontId="3" fillId="26" borderId="51" xfId="3" applyNumberFormat="1" applyFont="1" applyBorder="1">
      <alignment vertical="center" wrapText="1"/>
    </xf>
    <xf numFmtId="173" fontId="15" fillId="26" borderId="4" xfId="3" applyNumberFormat="1" applyFont="1" applyBorder="1">
      <alignment vertical="center" wrapText="1"/>
    </xf>
    <xf numFmtId="173" fontId="53" fillId="26" borderId="4" xfId="3" applyNumberFormat="1" applyFont="1" applyBorder="1">
      <alignment vertical="center" wrapText="1"/>
    </xf>
    <xf numFmtId="173" fontId="3" fillId="26" borderId="52" xfId="3" applyNumberFormat="1" applyFont="1" applyBorder="1">
      <alignment vertical="center" wrapText="1"/>
    </xf>
    <xf numFmtId="173" fontId="3" fillId="32" borderId="57" xfId="32" applyNumberFormat="1" applyFont="1" applyBorder="1">
      <alignment vertical="center" wrapText="1"/>
    </xf>
    <xf numFmtId="173" fontId="48" fillId="32" borderId="4" xfId="32" applyNumberFormat="1" applyFont="1" applyBorder="1">
      <alignment vertical="center" wrapText="1"/>
    </xf>
    <xf numFmtId="173" fontId="15" fillId="32" borderId="4" xfId="32" applyNumberFormat="1" applyFont="1" applyBorder="1">
      <alignment vertical="center" wrapText="1"/>
    </xf>
    <xf numFmtId="173" fontId="53" fillId="32" borderId="4" xfId="32" applyNumberFormat="1" applyFont="1" applyBorder="1">
      <alignment vertical="center" wrapText="1"/>
    </xf>
    <xf numFmtId="173" fontId="53" fillId="0" borderId="4" xfId="0" applyNumberFormat="1" applyFont="1" applyBorder="1"/>
    <xf numFmtId="175" fontId="15" fillId="26" borderId="4" xfId="11" applyNumberFormat="1" applyFont="1" applyFill="1" applyBorder="1" applyAlignment="1">
      <alignment vertical="center" wrapText="1"/>
    </xf>
    <xf numFmtId="175" fontId="53" fillId="26" borderId="4" xfId="11" applyNumberFormat="1" applyFont="1" applyFill="1" applyBorder="1" applyAlignment="1">
      <alignment vertical="center" wrapText="1"/>
    </xf>
    <xf numFmtId="173" fontId="3" fillId="26" borderId="61" xfId="3" applyNumberFormat="1" applyFont="1" applyBorder="1">
      <alignment vertical="center" wrapText="1"/>
    </xf>
    <xf numFmtId="173" fontId="15" fillId="32" borderId="28" xfId="32" applyNumberFormat="1" applyFont="1" applyBorder="1">
      <alignment vertical="center" wrapText="1"/>
    </xf>
    <xf numFmtId="173" fontId="53" fillId="32" borderId="28" xfId="32" applyNumberFormat="1" applyFont="1" applyBorder="1">
      <alignment vertical="center" wrapText="1"/>
    </xf>
    <xf numFmtId="173" fontId="3" fillId="32" borderId="58" xfId="32" applyNumberFormat="1" applyFont="1" applyBorder="1">
      <alignment vertical="center" wrapText="1"/>
    </xf>
    <xf numFmtId="176" fontId="0" fillId="0" borderId="0" xfId="0" applyNumberFormat="1"/>
    <xf numFmtId="0" fontId="3" fillId="30" borderId="0" xfId="0" applyFont="1" applyFill="1" applyBorder="1"/>
    <xf numFmtId="0" fontId="0" fillId="30" borderId="0" xfId="0" applyFill="1" applyBorder="1"/>
    <xf numFmtId="0" fontId="0" fillId="0" borderId="0" xfId="0" applyBorder="1" applyAlignment="1"/>
    <xf numFmtId="0" fontId="3" fillId="0" borderId="0" xfId="0" applyFont="1" applyBorder="1" applyAlignment="1"/>
    <xf numFmtId="0" fontId="0" fillId="0" borderId="0" xfId="0"/>
    <xf numFmtId="0" fontId="70" fillId="26" borderId="73" xfId="3" applyNumberFormat="1" applyFont="1" applyBorder="1" applyAlignment="1">
      <alignment vertical="center"/>
    </xf>
    <xf numFmtId="0" fontId="3" fillId="33" borderId="42" xfId="12" applyNumberFormat="1" applyFont="1" applyBorder="1" applyAlignment="1">
      <protection hidden="1"/>
    </xf>
    <xf numFmtId="173" fontId="3" fillId="26" borderId="51" xfId="3" applyNumberFormat="1" applyBorder="1">
      <alignment vertical="center" wrapText="1"/>
    </xf>
    <xf numFmtId="173" fontId="3" fillId="26" borderId="52" xfId="3" applyNumberFormat="1" applyBorder="1">
      <alignment vertical="center" wrapText="1"/>
    </xf>
    <xf numFmtId="173" fontId="3" fillId="26" borderId="53" xfId="3" applyNumberFormat="1" applyBorder="1">
      <alignment vertical="center" wrapText="1"/>
    </xf>
    <xf numFmtId="0" fontId="23" fillId="0" borderId="184" xfId="6" applyFill="1" applyBorder="1" applyAlignment="1"/>
    <xf numFmtId="0" fontId="25" fillId="0" borderId="0" xfId="8"/>
    <xf numFmtId="14" fontId="0" fillId="0" borderId="0" xfId="0" applyNumberFormat="1"/>
    <xf numFmtId="0" fontId="3" fillId="44" borderId="184" xfId="41" quotePrefix="1" applyFont="1" applyBorder="1" applyAlignment="1">
      <alignment vertical="center"/>
    </xf>
    <xf numFmtId="14" fontId="0" fillId="33" borderId="189" xfId="12" applyNumberFormat="1" applyFont="1" applyBorder="1" applyAlignment="1">
      <alignment horizontal="right" vertical="center" wrapText="1" indent="1"/>
      <protection hidden="1"/>
    </xf>
    <xf numFmtId="173" fontId="3" fillId="26" borderId="190" xfId="3" applyNumberFormat="1" applyBorder="1">
      <alignment vertical="center" wrapText="1"/>
    </xf>
    <xf numFmtId="173" fontId="3" fillId="26" borderId="186" xfId="3" applyNumberFormat="1" applyBorder="1">
      <alignment vertical="center" wrapText="1"/>
    </xf>
    <xf numFmtId="14" fontId="0" fillId="33" borderId="191" xfId="12" applyNumberFormat="1" applyFont="1" applyBorder="1" applyAlignment="1">
      <alignment horizontal="right" vertical="center" wrapText="1" indent="1"/>
      <protection hidden="1"/>
    </xf>
    <xf numFmtId="173" fontId="3" fillId="26" borderId="187" xfId="3" applyNumberFormat="1" applyBorder="1">
      <alignment vertical="center" wrapText="1"/>
    </xf>
    <xf numFmtId="14" fontId="0" fillId="38" borderId="191" xfId="12" applyNumberFormat="1" applyFont="1" applyFill="1" applyBorder="1" applyAlignment="1">
      <alignment horizontal="right" vertical="center" wrapText="1" indent="1"/>
      <protection hidden="1"/>
    </xf>
    <xf numFmtId="14" fontId="0" fillId="33" borderId="185" xfId="12" applyNumberFormat="1" applyFont="1" applyBorder="1" applyAlignment="1">
      <alignment horizontal="right" vertical="center" wrapText="1" indent="1"/>
      <protection hidden="1"/>
    </xf>
    <xf numFmtId="173" fontId="3" fillId="26" borderId="192" xfId="3" applyNumberFormat="1" applyBorder="1">
      <alignment vertical="center" wrapText="1"/>
    </xf>
    <xf numFmtId="173" fontId="3" fillId="26" borderId="188" xfId="3" applyNumberFormat="1" applyBorder="1">
      <alignment vertical="center" wrapText="1"/>
    </xf>
    <xf numFmtId="0" fontId="3" fillId="0" borderId="0" xfId="0" applyFont="1" applyBorder="1" applyAlignment="1">
      <alignment horizontal="center"/>
    </xf>
    <xf numFmtId="0" fontId="7" fillId="28" borderId="15" xfId="20">
      <alignment horizontal="center" wrapText="1"/>
      <protection hidden="1"/>
    </xf>
    <xf numFmtId="0" fontId="3" fillId="0" borderId="0" xfId="0" applyFont="1" applyFill="1" applyBorder="1" applyAlignment="1">
      <alignment vertical="center"/>
    </xf>
    <xf numFmtId="0" fontId="0" fillId="0" borderId="0" xfId="0" applyAlignment="1">
      <alignment vertical="center" wrapText="1"/>
    </xf>
    <xf numFmtId="0" fontId="7" fillId="40" borderId="0" xfId="0" applyFont="1" applyFill="1" applyBorder="1" applyAlignment="1">
      <alignment vertical="center" wrapText="1"/>
    </xf>
    <xf numFmtId="0" fontId="44" fillId="40" borderId="0" xfId="4" applyFont="1" applyFill="1" applyBorder="1" applyAlignment="1">
      <alignment horizontal="left" wrapText="1"/>
    </xf>
    <xf numFmtId="0" fontId="51" fillId="0" borderId="0" xfId="9" applyFont="1" applyBorder="1" applyAlignment="1" applyProtection="1"/>
    <xf numFmtId="0" fontId="22" fillId="0" borderId="0" xfId="4" applyFill="1" applyBorder="1" applyAlignment="1">
      <alignment horizontal="left" vertical="top" wrapText="1"/>
    </xf>
    <xf numFmtId="9" fontId="63" fillId="41" borderId="143" xfId="10" applyNumberFormat="1" applyFont="1" applyBorder="1">
      <alignment vertical="center"/>
      <protection locked="0" hidden="1"/>
    </xf>
    <xf numFmtId="41" fontId="63" fillId="41" borderId="143" xfId="10" applyNumberFormat="1" applyFont="1" applyBorder="1">
      <alignment vertical="center"/>
      <protection locked="0" hidden="1"/>
    </xf>
    <xf numFmtId="0" fontId="44" fillId="0" borderId="0" xfId="4" applyFont="1" applyFill="1" applyBorder="1" applyAlignment="1">
      <alignment horizontal="left" wrapText="1"/>
    </xf>
    <xf numFmtId="0" fontId="7" fillId="28" borderId="15" xfId="20" applyBorder="1">
      <alignment horizontal="center" wrapText="1"/>
      <protection hidden="1"/>
    </xf>
    <xf numFmtId="0" fontId="24" fillId="0" borderId="0" xfId="7" applyFill="1" applyBorder="1"/>
    <xf numFmtId="9" fontId="63" fillId="41" borderId="138" xfId="10" applyNumberFormat="1" applyFont="1" applyBorder="1">
      <alignment vertical="center"/>
      <protection locked="0" hidden="1"/>
    </xf>
    <xf numFmtId="9" fontId="63" fillId="41" borderId="145" xfId="10" applyNumberFormat="1" applyFont="1" applyBorder="1">
      <alignment vertical="center"/>
      <protection locked="0" hidden="1"/>
    </xf>
    <xf numFmtId="0" fontId="63" fillId="41" borderId="138" xfId="10" applyNumberFormat="1" applyFont="1" applyBorder="1">
      <alignment vertical="center"/>
      <protection locked="0" hidden="1"/>
    </xf>
    <xf numFmtId="0" fontId="63" fillId="41" borderId="143" xfId="10" applyNumberFormat="1" applyFont="1" applyBorder="1">
      <alignment vertical="center"/>
      <protection locked="0" hidden="1"/>
    </xf>
    <xf numFmtId="41" fontId="63" fillId="41" borderId="145" xfId="10" applyNumberFormat="1" applyFont="1" applyBorder="1">
      <alignment vertical="center"/>
      <protection locked="0" hidden="1"/>
    </xf>
    <xf numFmtId="0" fontId="14" fillId="0" borderId="0" xfId="0" applyFont="1" applyBorder="1" applyAlignment="1">
      <alignment vertical="center" wrapText="1"/>
    </xf>
    <xf numFmtId="0" fontId="7" fillId="28" borderId="17" xfId="20" applyBorder="1">
      <alignment horizontal="center" wrapText="1"/>
      <protection hidden="1"/>
    </xf>
    <xf numFmtId="0" fontId="7" fillId="28" borderId="16" xfId="20" applyBorder="1">
      <alignment horizontal="center" wrapText="1"/>
      <protection hidden="1"/>
    </xf>
    <xf numFmtId="0" fontId="7" fillId="28" borderId="16" xfId="20" applyBorder="1" applyAlignment="1">
      <alignment horizontal="center" wrapText="1"/>
      <protection hidden="1"/>
    </xf>
    <xf numFmtId="0" fontId="74" fillId="27" borderId="97" xfId="37" applyNumberFormat="1" applyFont="1" applyBorder="1">
      <alignment vertical="center" wrapText="1"/>
      <protection locked="0"/>
    </xf>
    <xf numFmtId="0" fontId="74" fillId="27" borderId="113" xfId="37" applyNumberFormat="1" applyFont="1" applyBorder="1">
      <alignment vertical="center" wrapText="1"/>
      <protection locked="0"/>
    </xf>
    <xf numFmtId="0" fontId="74" fillId="27" borderId="74" xfId="37" applyNumberFormat="1" applyFont="1" applyBorder="1">
      <alignment vertical="center" wrapText="1"/>
      <protection locked="0"/>
    </xf>
    <xf numFmtId="0" fontId="74" fillId="27" borderId="67" xfId="37" applyNumberFormat="1" applyFont="1" applyBorder="1">
      <alignment vertical="center" wrapText="1"/>
      <protection locked="0"/>
    </xf>
    <xf numFmtId="0" fontId="7" fillId="28" borderId="47" xfId="20" applyBorder="1">
      <alignment horizontal="center" wrapText="1"/>
      <protection hidden="1"/>
    </xf>
    <xf numFmtId="0" fontId="74" fillId="27" borderId="29" xfId="37" applyNumberFormat="1" applyFont="1" applyBorder="1">
      <alignment vertical="center" wrapText="1"/>
      <protection locked="0"/>
    </xf>
    <xf numFmtId="0" fontId="74" fillId="27" borderId="114" xfId="37" applyNumberFormat="1" applyFont="1" applyBorder="1">
      <alignment vertical="center" wrapText="1"/>
      <protection locked="0"/>
    </xf>
    <xf numFmtId="0" fontId="48" fillId="28" borderId="15" xfId="20" applyFont="1" applyBorder="1">
      <alignment horizontal="center" wrapText="1"/>
      <protection hidden="1"/>
    </xf>
    <xf numFmtId="0" fontId="7" fillId="28" borderId="23" xfId="20" applyBorder="1">
      <alignment horizontal="center" wrapText="1"/>
      <protection hidden="1"/>
    </xf>
    <xf numFmtId="0" fontId="7" fillId="28" borderId="80" xfId="20" applyBorder="1">
      <alignment horizontal="center" wrapText="1"/>
      <protection hidden="1"/>
    </xf>
    <xf numFmtId="0" fontId="7" fillId="28" borderId="82" xfId="20" applyBorder="1">
      <alignment horizontal="center" wrapText="1"/>
      <protection hidden="1"/>
    </xf>
    <xf numFmtId="0" fontId="7" fillId="28" borderId="23" xfId="20" applyBorder="1" applyAlignment="1">
      <alignment horizontal="center" wrapText="1"/>
      <protection hidden="1"/>
    </xf>
    <xf numFmtId="0" fontId="7" fillId="28" borderId="81" xfId="20" applyBorder="1">
      <alignment horizontal="center" wrapText="1"/>
      <protection hidden="1"/>
    </xf>
    <xf numFmtId="0" fontId="0" fillId="33" borderId="84" xfId="12" applyFont="1" applyBorder="1">
      <alignment horizontal="left" vertical="center" wrapText="1"/>
      <protection hidden="1"/>
    </xf>
    <xf numFmtId="0" fontId="0" fillId="33" borderId="26" xfId="12" applyFont="1" applyBorder="1">
      <alignment horizontal="left" vertical="center" wrapText="1"/>
      <protection hidden="1"/>
    </xf>
    <xf numFmtId="171" fontId="3" fillId="26" borderId="27" xfId="3" applyNumberFormat="1" applyBorder="1">
      <alignment vertical="center" wrapText="1"/>
    </xf>
    <xf numFmtId="171" fontId="7" fillId="32" borderId="28" xfId="32" applyNumberFormat="1" applyBorder="1">
      <alignment vertical="center" wrapText="1"/>
    </xf>
    <xf numFmtId="171" fontId="3" fillId="26" borderId="50" xfId="3" applyNumberFormat="1" applyBorder="1">
      <alignment vertical="center" wrapText="1"/>
    </xf>
    <xf numFmtId="0" fontId="3" fillId="33" borderId="26" xfId="12" applyNumberFormat="1" applyBorder="1">
      <alignment horizontal="left" vertical="center" wrapText="1"/>
      <protection hidden="1"/>
    </xf>
    <xf numFmtId="0" fontId="7" fillId="28" borderId="64" xfId="20" applyBorder="1">
      <alignment horizontal="center" wrapText="1"/>
      <protection hidden="1"/>
    </xf>
    <xf numFmtId="0" fontId="7" fillId="33" borderId="26" xfId="12" applyNumberFormat="1" applyFont="1" applyBorder="1">
      <alignment horizontal="left" vertical="center" wrapText="1"/>
      <protection hidden="1"/>
    </xf>
    <xf numFmtId="0" fontId="0" fillId="0" borderId="0" xfId="0" applyFill="1" applyBorder="1" applyAlignment="1">
      <alignment vertical="center" wrapText="1"/>
    </xf>
    <xf numFmtId="0" fontId="3" fillId="26" borderId="62" xfId="3" applyNumberFormat="1" applyBorder="1">
      <alignment vertical="center" wrapText="1"/>
    </xf>
    <xf numFmtId="0" fontId="3" fillId="26" borderId="31" xfId="3" applyNumberFormat="1" applyBorder="1">
      <alignment vertical="center" wrapText="1"/>
    </xf>
    <xf numFmtId="0" fontId="25" fillId="0" borderId="0" xfId="8" applyFill="1" applyBorder="1"/>
    <xf numFmtId="0" fontId="0" fillId="0" borderId="193" xfId="0" applyBorder="1"/>
    <xf numFmtId="0" fontId="0" fillId="0" borderId="194" xfId="0" applyBorder="1"/>
    <xf numFmtId="0" fontId="0" fillId="0" borderId="21" xfId="0" applyBorder="1"/>
    <xf numFmtId="0" fontId="0" fillId="0" borderId="22" xfId="0" applyBorder="1"/>
    <xf numFmtId="0" fontId="0" fillId="0" borderId="195" xfId="0" applyBorder="1"/>
    <xf numFmtId="0" fontId="0" fillId="0" borderId="196" xfId="0" applyBorder="1"/>
    <xf numFmtId="0" fontId="66" fillId="0" borderId="0" xfId="0" applyFont="1" applyFill="1" applyBorder="1" applyAlignment="1"/>
    <xf numFmtId="0" fontId="54" fillId="0" borderId="0" xfId="0" applyFont="1" applyFill="1" applyBorder="1" applyAlignment="1">
      <alignment vertical="top" wrapText="1"/>
    </xf>
    <xf numFmtId="0" fontId="8" fillId="0" borderId="0" xfId="9" applyFill="1" applyBorder="1" applyAlignment="1" applyProtection="1"/>
    <xf numFmtId="0" fontId="3" fillId="0" borderId="0" xfId="0" applyFont="1" applyFill="1" applyBorder="1" applyAlignment="1">
      <alignment vertical="center" wrapText="1"/>
    </xf>
    <xf numFmtId="0" fontId="3" fillId="0" borderId="0" xfId="0" applyFont="1" applyFill="1" applyBorder="1" applyAlignment="1">
      <alignment vertical="center"/>
    </xf>
    <xf numFmtId="0" fontId="0" fillId="0" borderId="0" xfId="0" applyAlignment="1">
      <alignment vertical="center" wrapText="1"/>
    </xf>
    <xf numFmtId="0" fontId="8" fillId="0" borderId="0" xfId="9" applyFill="1" applyBorder="1" applyAlignment="1" applyProtection="1">
      <alignment vertical="center"/>
    </xf>
    <xf numFmtId="0" fontId="3" fillId="26" borderId="30" xfId="3" applyNumberFormat="1" applyBorder="1" applyAlignment="1">
      <alignment vertical="center" wrapText="1"/>
    </xf>
    <xf numFmtId="0" fontId="0" fillId="0" borderId="31" xfId="0" applyBorder="1" applyAlignment="1">
      <alignment vertical="center" wrapText="1"/>
    </xf>
    <xf numFmtId="0" fontId="3" fillId="0" borderId="0" xfId="0" applyFont="1" applyBorder="1" applyAlignment="1">
      <alignment horizontal="center"/>
    </xf>
    <xf numFmtId="0" fontId="3" fillId="26" borderId="163" xfId="3" applyNumberFormat="1" applyBorder="1" applyAlignment="1">
      <alignment vertical="center" wrapText="1"/>
    </xf>
    <xf numFmtId="0" fontId="0" fillId="0" borderId="164" xfId="0" applyBorder="1" applyAlignment="1">
      <alignment vertical="center" wrapText="1"/>
    </xf>
    <xf numFmtId="0" fontId="66" fillId="0" borderId="0" xfId="0" applyFont="1" applyFill="1" applyBorder="1" applyAlignment="1">
      <alignment vertical="center" wrapText="1"/>
    </xf>
    <xf numFmtId="0" fontId="54" fillId="0" borderId="0" xfId="0" applyFont="1" applyFill="1" applyBorder="1" applyAlignment="1">
      <alignment vertical="center" wrapText="1"/>
    </xf>
    <xf numFmtId="0" fontId="8" fillId="0" borderId="0" xfId="9" applyFill="1" applyBorder="1" applyAlignment="1" applyProtection="1">
      <alignment vertical="center" wrapText="1"/>
    </xf>
    <xf numFmtId="0" fontId="89" fillId="0" borderId="0" xfId="0" applyFont="1" applyBorder="1" applyAlignment="1">
      <alignment horizontal="center" wrapText="1"/>
    </xf>
    <xf numFmtId="0" fontId="63" fillId="41" borderId="126" xfId="10" applyFont="1" applyBorder="1" applyAlignment="1">
      <alignment vertical="center" wrapText="1"/>
      <protection locked="0" hidden="1"/>
    </xf>
    <xf numFmtId="0" fontId="63" fillId="41" borderId="127" xfId="10" applyBorder="1" applyAlignment="1">
      <alignment vertical="center" wrapText="1"/>
      <protection locked="0" hidden="1"/>
    </xf>
    <xf numFmtId="0" fontId="63" fillId="41" borderId="120" xfId="10" applyBorder="1" applyAlignment="1">
      <alignment vertical="center" wrapText="1"/>
      <protection locked="0" hidden="1"/>
    </xf>
    <xf numFmtId="0" fontId="63" fillId="41" borderId="138" xfId="10" applyFont="1" applyBorder="1" applyAlignment="1">
      <alignment horizontal="left" vertical="center" wrapText="1"/>
      <protection locked="0" hidden="1"/>
    </xf>
    <xf numFmtId="0" fontId="63" fillId="41" borderId="146" xfId="10" applyFont="1" applyBorder="1" applyAlignment="1">
      <alignment horizontal="left" vertical="center" wrapText="1"/>
      <protection locked="0" hidden="1"/>
    </xf>
    <xf numFmtId="0" fontId="63" fillId="41" borderId="141" xfId="10" applyFont="1" applyBorder="1" applyAlignment="1">
      <alignment horizontal="left" vertical="center" wrapText="1"/>
      <protection locked="0" hidden="1"/>
    </xf>
    <xf numFmtId="0" fontId="63" fillId="41" borderId="145" xfId="10" applyFont="1" applyBorder="1" applyAlignment="1">
      <alignment horizontal="left" vertical="center" wrapText="1"/>
      <protection locked="0" hidden="1"/>
    </xf>
    <xf numFmtId="0" fontId="63" fillId="41" borderId="149" xfId="10" applyFont="1" applyBorder="1" applyAlignment="1">
      <alignment horizontal="left" vertical="center" wrapText="1"/>
      <protection locked="0" hidden="1"/>
    </xf>
    <xf numFmtId="0" fontId="63" fillId="41" borderId="148" xfId="10" applyFont="1" applyBorder="1" applyAlignment="1">
      <alignment horizontal="left" vertical="center" wrapText="1"/>
      <protection locked="0" hidden="1"/>
    </xf>
    <xf numFmtId="0" fontId="63" fillId="41" borderId="143" xfId="10" applyFont="1" applyBorder="1" applyAlignment="1">
      <alignment horizontal="left" vertical="center" wrapText="1"/>
      <protection locked="0" hidden="1"/>
    </xf>
    <xf numFmtId="0" fontId="63" fillId="41" borderId="147" xfId="10" applyFont="1" applyBorder="1" applyAlignment="1">
      <alignment horizontal="left" vertical="center" wrapText="1"/>
      <protection locked="0" hidden="1"/>
    </xf>
    <xf numFmtId="0" fontId="63" fillId="41" borderId="144" xfId="10" applyFont="1" applyBorder="1" applyAlignment="1">
      <alignment horizontal="left" vertical="center" wrapText="1"/>
      <protection locked="0" hidden="1"/>
    </xf>
    <xf numFmtId="0" fontId="44" fillId="0" borderId="0" xfId="4" applyFont="1" applyFill="1" applyBorder="1" applyAlignment="1">
      <alignment horizontal="left" wrapText="1"/>
    </xf>
    <xf numFmtId="0" fontId="44" fillId="25" borderId="0" xfId="4" applyFont="1" applyFill="1" applyBorder="1" applyAlignment="1">
      <alignment horizontal="left" wrapText="1"/>
    </xf>
    <xf numFmtId="9" fontId="3" fillId="26" borderId="27" xfId="3" applyBorder="1" applyAlignment="1">
      <alignment horizontal="center" vertical="center" wrapText="1"/>
    </xf>
    <xf numFmtId="0" fontId="22" fillId="0" borderId="0" xfId="4" applyFill="1" applyBorder="1" applyAlignment="1">
      <alignment horizontal="left" vertical="top" wrapText="1"/>
    </xf>
    <xf numFmtId="0" fontId="22" fillId="25" borderId="0" xfId="4" applyFill="1" applyBorder="1" applyAlignment="1">
      <alignment horizontal="left" vertical="top" wrapText="1"/>
    </xf>
    <xf numFmtId="14" fontId="0" fillId="0" borderId="0" xfId="0" applyNumberFormat="1" applyBorder="1" applyAlignment="1">
      <alignment horizontal="center" vertical="center"/>
    </xf>
    <xf numFmtId="0" fontId="22" fillId="40" borderId="0" xfId="4" applyFill="1" applyBorder="1" applyAlignment="1">
      <alignment horizontal="left" vertical="top" wrapText="1"/>
    </xf>
    <xf numFmtId="0" fontId="22" fillId="0" borderId="0" xfId="4" applyFill="1" applyBorder="1" applyAlignment="1">
      <alignment vertical="top" wrapText="1"/>
    </xf>
    <xf numFmtId="0" fontId="22" fillId="25" borderId="0" xfId="4" applyFill="1" applyBorder="1" applyAlignment="1">
      <alignment vertical="top" wrapText="1"/>
    </xf>
    <xf numFmtId="0" fontId="51" fillId="0" borderId="0" xfId="9" applyFont="1" applyBorder="1" applyAlignment="1" applyProtection="1"/>
    <xf numFmtId="1" fontId="3" fillId="26" borderId="27" xfId="3" applyNumberFormat="1" applyBorder="1" applyAlignment="1">
      <alignment horizontal="center" vertical="center" wrapText="1"/>
    </xf>
    <xf numFmtId="41" fontId="63" fillId="41" borderId="126" xfId="10" applyNumberFormat="1" applyFont="1" applyBorder="1" applyAlignment="1">
      <alignment vertical="center"/>
      <protection locked="0" hidden="1"/>
    </xf>
    <xf numFmtId="41" fontId="63" fillId="41" borderId="120" xfId="10" applyNumberFormat="1" applyBorder="1" applyAlignment="1">
      <alignment vertical="center"/>
      <protection locked="0" hidden="1"/>
    </xf>
    <xf numFmtId="0" fontId="43" fillId="40" borderId="0" xfId="4" applyFont="1" applyFill="1" applyBorder="1" applyAlignment="1">
      <alignment horizontal="left" vertical="top" wrapText="1"/>
    </xf>
    <xf numFmtId="0" fontId="62" fillId="0" borderId="48" xfId="4" applyFont="1" applyFill="1" applyBorder="1" applyAlignment="1">
      <alignment horizontal="left" vertical="top" wrapText="1"/>
    </xf>
    <xf numFmtId="0" fontId="62" fillId="25" borderId="0" xfId="4" applyFont="1" applyFill="1" applyBorder="1" applyAlignment="1">
      <alignment horizontal="left" vertical="top" wrapText="1"/>
    </xf>
    <xf numFmtId="0" fontId="7" fillId="40" borderId="0" xfId="0" applyFont="1" applyFill="1" applyBorder="1" applyAlignment="1">
      <alignment vertical="center" wrapText="1"/>
    </xf>
    <xf numFmtId="0" fontId="63" fillId="41" borderId="130" xfId="10" applyFont="1" applyBorder="1" applyAlignment="1">
      <alignment horizontal="left" vertical="center" wrapText="1"/>
      <protection locked="0" hidden="1"/>
    </xf>
    <xf numFmtId="0" fontId="72" fillId="41" borderId="136" xfId="10" applyFont="1" applyBorder="1" applyAlignment="1">
      <alignment horizontal="left" vertical="center" wrapText="1"/>
      <protection locked="0" hidden="1"/>
    </xf>
    <xf numFmtId="0" fontId="72" fillId="41" borderId="137" xfId="10" applyFont="1" applyBorder="1" applyAlignment="1">
      <alignment horizontal="left" vertical="center" wrapText="1"/>
      <protection locked="0" hidden="1"/>
    </xf>
    <xf numFmtId="0" fontId="72" fillId="41" borderId="133" xfId="10" applyFont="1" applyBorder="1" applyAlignment="1">
      <alignment horizontal="left" vertical="center" wrapText="1"/>
      <protection locked="0" hidden="1"/>
    </xf>
    <xf numFmtId="0" fontId="72" fillId="41" borderId="134" xfId="10" applyFont="1" applyBorder="1" applyAlignment="1">
      <alignment horizontal="left" vertical="center" wrapText="1"/>
      <protection locked="0" hidden="1"/>
    </xf>
    <xf numFmtId="0" fontId="72" fillId="41" borderId="135" xfId="10" applyFont="1" applyBorder="1" applyAlignment="1">
      <alignment horizontal="left" vertical="center" wrapText="1"/>
      <protection locked="0" hidden="1"/>
    </xf>
    <xf numFmtId="0" fontId="3" fillId="0" borderId="0" xfId="0" applyFont="1" applyBorder="1" applyAlignment="1">
      <alignment vertical="center" wrapText="1"/>
    </xf>
    <xf numFmtId="170" fontId="63" fillId="41" borderId="126" xfId="10" applyNumberFormat="1" applyFont="1" applyBorder="1" applyAlignment="1">
      <alignment vertical="center" wrapText="1"/>
      <protection locked="0" hidden="1"/>
    </xf>
    <xf numFmtId="0" fontId="22" fillId="40" borderId="0" xfId="4" applyFill="1" applyBorder="1" applyAlignment="1">
      <alignment vertical="top" wrapText="1"/>
    </xf>
    <xf numFmtId="0" fontId="44" fillId="40" borderId="0" xfId="4" applyFont="1" applyFill="1" applyBorder="1" applyAlignment="1">
      <alignment horizontal="left" wrapText="1"/>
    </xf>
    <xf numFmtId="0" fontId="63" fillId="41" borderId="126" xfId="10" applyFont="1" applyBorder="1" applyAlignment="1">
      <alignment vertical="center"/>
      <protection locked="0" hidden="1"/>
    </xf>
    <xf numFmtId="0" fontId="63" fillId="41" borderId="127" xfId="10" applyBorder="1" applyAlignment="1">
      <alignment vertical="center"/>
      <protection locked="0" hidden="1"/>
    </xf>
    <xf numFmtId="0" fontId="63" fillId="41" borderId="120" xfId="10" applyBorder="1" applyAlignment="1">
      <alignment vertical="center"/>
      <protection locked="0" hidden="1"/>
    </xf>
    <xf numFmtId="0" fontId="22" fillId="40" borderId="48" xfId="4" applyFill="1" applyBorder="1" applyAlignment="1">
      <alignment horizontal="left" vertical="top" wrapText="1"/>
    </xf>
    <xf numFmtId="0" fontId="63" fillId="41" borderId="128" xfId="10" applyFont="1" applyBorder="1" applyAlignment="1">
      <alignment vertical="center" wrapText="1"/>
      <protection locked="0" hidden="1"/>
    </xf>
    <xf numFmtId="0" fontId="63" fillId="41" borderId="129" xfId="10" applyBorder="1" applyAlignment="1">
      <alignment vertical="center" wrapText="1"/>
      <protection locked="0" hidden="1"/>
    </xf>
    <xf numFmtId="0" fontId="63" fillId="41" borderId="121" xfId="10" applyBorder="1" applyAlignment="1">
      <alignment vertical="center" wrapText="1"/>
      <protection locked="0" hidden="1"/>
    </xf>
    <xf numFmtId="0" fontId="72" fillId="41" borderId="131" xfId="10" applyFont="1" applyBorder="1" applyAlignment="1">
      <alignment vertical="center" wrapText="1"/>
      <protection locked="0" hidden="1"/>
    </xf>
    <xf numFmtId="0" fontId="72" fillId="41" borderId="132" xfId="10" applyFont="1" applyBorder="1" applyAlignment="1">
      <alignment vertical="center" wrapText="1"/>
      <protection locked="0" hidden="1"/>
    </xf>
    <xf numFmtId="0" fontId="72" fillId="41" borderId="133" xfId="10" applyFont="1" applyBorder="1" applyAlignment="1">
      <alignment vertical="center" wrapText="1"/>
      <protection locked="0" hidden="1"/>
    </xf>
    <xf numFmtId="0" fontId="72" fillId="41" borderId="134" xfId="10" applyFont="1" applyBorder="1" applyAlignment="1">
      <alignment vertical="center" wrapText="1"/>
      <protection locked="0" hidden="1"/>
    </xf>
    <xf numFmtId="0" fontId="72" fillId="41" borderId="135" xfId="10" applyFont="1" applyBorder="1" applyAlignment="1">
      <alignment vertical="center" wrapText="1"/>
      <protection locked="0" hidden="1"/>
    </xf>
    <xf numFmtId="0" fontId="58" fillId="0" borderId="0" xfId="0" applyFont="1" applyBorder="1" applyAlignment="1">
      <alignment vertical="center" wrapText="1"/>
    </xf>
    <xf numFmtId="0" fontId="14" fillId="0" borderId="0" xfId="0" applyFont="1" applyBorder="1" applyAlignment="1">
      <alignment vertical="center" wrapText="1"/>
    </xf>
    <xf numFmtId="0" fontId="7" fillId="28" borderId="16" xfId="20" applyBorder="1" applyAlignment="1">
      <alignment horizontal="center" wrapText="1"/>
      <protection hidden="1"/>
    </xf>
    <xf numFmtId="0" fontId="7" fillId="28" borderId="17" xfId="20" applyBorder="1" applyAlignment="1">
      <alignment horizontal="center" wrapText="1"/>
      <protection hidden="1"/>
    </xf>
    <xf numFmtId="0" fontId="22" fillId="0" borderId="0" xfId="4" applyBorder="1" applyAlignment="1">
      <alignment horizontal="left" vertical="center" wrapText="1"/>
    </xf>
    <xf numFmtId="0" fontId="13" fillId="0" borderId="0" xfId="0" applyFont="1" applyBorder="1" applyAlignment="1">
      <alignment vertical="center" wrapText="1"/>
    </xf>
    <xf numFmtId="0" fontId="22" fillId="0" borderId="0" xfId="4" applyBorder="1" applyAlignment="1">
      <alignment vertical="center" wrapText="1"/>
    </xf>
    <xf numFmtId="0" fontId="3" fillId="0" borderId="98" xfId="0" applyFont="1" applyBorder="1" applyAlignment="1">
      <alignment vertical="center" wrapText="1"/>
    </xf>
    <xf numFmtId="0" fontId="32" fillId="0" borderId="0" xfId="0" applyFont="1" applyBorder="1" applyAlignment="1">
      <alignment vertical="center" wrapText="1"/>
    </xf>
    <xf numFmtId="0" fontId="7" fillId="28" borderId="23" xfId="20" applyBorder="1" applyAlignment="1">
      <alignment horizontal="center" wrapText="1"/>
      <protection hidden="1"/>
    </xf>
    <xf numFmtId="0" fontId="3" fillId="0" borderId="0" xfId="0" applyFont="1" applyBorder="1" applyAlignment="1">
      <alignment horizontal="left" vertical="center" wrapText="1"/>
    </xf>
    <xf numFmtId="0" fontId="0" fillId="0" borderId="0" xfId="0" applyBorder="1" applyAlignment="1">
      <alignment vertical="center" wrapText="1"/>
    </xf>
    <xf numFmtId="0" fontId="63" fillId="41" borderId="118" xfId="10" applyNumberFormat="1" applyFont="1" applyBorder="1" applyAlignment="1" applyProtection="1">
      <alignment vertical="center" wrapText="1"/>
      <protection locked="0" hidden="1"/>
    </xf>
    <xf numFmtId="0" fontId="63" fillId="41" borderId="119" xfId="10" applyNumberFormat="1" applyBorder="1" applyAlignment="1" applyProtection="1">
      <alignment vertical="center" wrapText="1"/>
      <protection locked="0" hidden="1"/>
    </xf>
    <xf numFmtId="0" fontId="63" fillId="41" borderId="120" xfId="10" applyNumberFormat="1" applyBorder="1" applyAlignment="1" applyProtection="1">
      <alignment vertical="center" wrapText="1"/>
      <protection locked="0" hidden="1"/>
    </xf>
    <xf numFmtId="0" fontId="63" fillId="41" borderId="118" xfId="10" applyNumberFormat="1" applyBorder="1" applyAlignment="1" applyProtection="1">
      <alignment vertical="center" wrapText="1"/>
      <protection locked="0" hidden="1"/>
    </xf>
    <xf numFmtId="0" fontId="7" fillId="28" borderId="85" xfId="20" applyBorder="1" applyAlignment="1">
      <alignment horizontal="center" wrapText="1"/>
      <protection hidden="1"/>
    </xf>
    <xf numFmtId="0" fontId="0" fillId="0" borderId="0" xfId="0" applyFill="1" applyBorder="1" applyAlignment="1">
      <alignment vertical="center" wrapText="1"/>
    </xf>
    <xf numFmtId="9" fontId="3" fillId="26" borderId="31" xfId="3" applyBorder="1" applyAlignment="1">
      <alignment horizontal="center" vertical="center" wrapText="1"/>
    </xf>
    <xf numFmtId="1" fontId="3" fillId="26" borderId="31" xfId="3" applyNumberFormat="1" applyBorder="1" applyAlignment="1">
      <alignment horizontal="center" vertical="center" wrapText="1"/>
    </xf>
    <xf numFmtId="0" fontId="54" fillId="0" borderId="0" xfId="0" applyFont="1" applyBorder="1" applyAlignment="1">
      <alignment vertical="center" wrapText="1"/>
    </xf>
    <xf numFmtId="0" fontId="7" fillId="28" borderId="80" xfId="20" applyBorder="1" applyAlignment="1">
      <alignment horizontal="center" vertical="center" wrapText="1"/>
      <protection hidden="1"/>
    </xf>
    <xf numFmtId="0" fontId="7" fillId="28" borderId="66" xfId="20" applyBorder="1" applyAlignment="1">
      <alignment horizontal="center" vertical="center" wrapText="1"/>
      <protection hidden="1"/>
    </xf>
    <xf numFmtId="0" fontId="7" fillId="28" borderId="16" xfId="20" applyBorder="1" applyAlignment="1">
      <alignment horizontal="center" vertical="center" wrapText="1"/>
      <protection hidden="1"/>
    </xf>
    <xf numFmtId="0" fontId="7" fillId="28" borderId="23" xfId="20" applyBorder="1" applyAlignment="1">
      <alignment horizontal="center" vertical="center" wrapText="1"/>
      <protection hidden="1"/>
    </xf>
    <xf numFmtId="0" fontId="7" fillId="28" borderId="17" xfId="20" applyBorder="1" applyAlignment="1">
      <alignment horizontal="center" vertical="center" wrapText="1"/>
      <protection hidden="1"/>
    </xf>
    <xf numFmtId="0" fontId="7" fillId="28" borderId="44" xfId="20" applyBorder="1" applyAlignment="1">
      <alignment horizontal="center" wrapText="1"/>
      <protection hidden="1"/>
    </xf>
    <xf numFmtId="0" fontId="7" fillId="28" borderId="0" xfId="20" applyBorder="1" applyAlignment="1">
      <alignment horizontal="center" wrapText="1"/>
      <protection hidden="1"/>
    </xf>
    <xf numFmtId="0" fontId="7" fillId="28" borderId="45" xfId="20" applyBorder="1" applyAlignment="1">
      <alignment horizontal="center" wrapText="1"/>
      <protection hidden="1"/>
    </xf>
    <xf numFmtId="0" fontId="7" fillId="28" borderId="46" xfId="20" applyBorder="1" applyAlignment="1">
      <alignment horizontal="center" wrapText="1"/>
      <protection hidden="1"/>
    </xf>
    <xf numFmtId="0" fontId="60" fillId="28" borderId="45" xfId="20" applyFont="1" applyBorder="1" applyAlignment="1">
      <alignment horizontal="center" wrapText="1"/>
      <protection hidden="1"/>
    </xf>
    <xf numFmtId="0" fontId="60" fillId="28" borderId="46" xfId="20" applyFont="1" applyBorder="1" applyAlignment="1">
      <alignment horizontal="center" wrapText="1"/>
      <protection hidden="1"/>
    </xf>
    <xf numFmtId="0" fontId="7" fillId="28" borderId="15" xfId="20" applyAlignment="1">
      <alignment horizontal="center" wrapText="1"/>
      <protection hidden="1"/>
    </xf>
    <xf numFmtId="41" fontId="63" fillId="41" borderId="138" xfId="10" quotePrefix="1" applyNumberFormat="1" applyFont="1" applyBorder="1" applyAlignment="1">
      <alignment vertical="center"/>
      <protection locked="0" hidden="1"/>
    </xf>
    <xf numFmtId="41" fontId="63" fillId="41" borderId="141" xfId="10" quotePrefix="1" applyNumberFormat="1" applyBorder="1" applyAlignment="1">
      <alignment vertical="center"/>
      <protection locked="0" hidden="1"/>
    </xf>
    <xf numFmtId="171" fontId="63" fillId="41" borderId="145" xfId="10" quotePrefix="1" applyNumberFormat="1" applyFont="1" applyBorder="1" applyAlignment="1">
      <alignment vertical="center"/>
      <protection locked="0" hidden="1"/>
    </xf>
    <xf numFmtId="171" fontId="63" fillId="41" borderId="148" xfId="10" applyNumberFormat="1" applyBorder="1" applyAlignment="1">
      <alignment vertical="center"/>
      <protection locked="0" hidden="1"/>
    </xf>
    <xf numFmtId="41" fontId="63" fillId="41" borderId="145" xfId="10" applyNumberFormat="1" applyFont="1" applyBorder="1" applyAlignment="1">
      <alignment vertical="center"/>
      <protection locked="0" hidden="1"/>
    </xf>
    <xf numFmtId="41" fontId="63" fillId="41" borderId="148" xfId="10" applyNumberFormat="1" applyBorder="1" applyAlignment="1">
      <alignment vertical="center"/>
      <protection locked="0" hidden="1"/>
    </xf>
    <xf numFmtId="41" fontId="63" fillId="41" borderId="143" xfId="10" applyNumberFormat="1" applyFont="1" applyBorder="1" applyAlignment="1">
      <alignment vertical="center"/>
      <protection locked="0" hidden="1"/>
    </xf>
    <xf numFmtId="41" fontId="63" fillId="41" borderId="144" xfId="10" applyNumberFormat="1" applyBorder="1" applyAlignment="1">
      <alignment vertical="center"/>
      <protection locked="0" hidden="1"/>
    </xf>
    <xf numFmtId="165" fontId="63" fillId="41" borderId="126" xfId="10" applyNumberFormat="1" applyFont="1" applyBorder="1" applyAlignment="1">
      <alignment vertical="center"/>
      <protection locked="0" hidden="1"/>
    </xf>
    <xf numFmtId="165" fontId="63" fillId="41" borderId="120" xfId="10" applyNumberFormat="1" applyBorder="1" applyAlignment="1">
      <alignment vertical="center"/>
      <protection locked="0" hidden="1"/>
    </xf>
    <xf numFmtId="0" fontId="63" fillId="41" borderId="138" xfId="10" applyNumberFormat="1" applyFont="1" applyBorder="1" applyAlignment="1">
      <alignment vertical="center"/>
      <protection locked="0" hidden="1"/>
    </xf>
    <xf numFmtId="0" fontId="63" fillId="41" borderId="141" xfId="10" applyNumberFormat="1" applyBorder="1" applyAlignment="1">
      <alignment vertical="center"/>
      <protection locked="0" hidden="1"/>
    </xf>
    <xf numFmtId="0" fontId="63" fillId="41" borderId="143" xfId="10" applyNumberFormat="1" applyFont="1" applyBorder="1" applyAlignment="1">
      <alignment vertical="center"/>
      <protection locked="0" hidden="1"/>
    </xf>
    <xf numFmtId="0" fontId="63" fillId="41" borderId="144" xfId="10" applyNumberFormat="1" applyBorder="1" applyAlignment="1">
      <alignment vertical="center"/>
      <protection locked="0" hidden="1"/>
    </xf>
    <xf numFmtId="9" fontId="63" fillId="41" borderId="138" xfId="10" applyNumberFormat="1" applyFont="1" applyBorder="1" applyAlignment="1">
      <alignment vertical="center"/>
      <protection locked="0" hidden="1"/>
    </xf>
    <xf numFmtId="9" fontId="63" fillId="41" borderId="141" xfId="10" applyNumberFormat="1" applyBorder="1" applyAlignment="1">
      <alignment vertical="center"/>
      <protection locked="0" hidden="1"/>
    </xf>
    <xf numFmtId="9" fontId="63" fillId="41" borderId="145" xfId="10" applyNumberFormat="1" applyFont="1" applyBorder="1" applyAlignment="1">
      <alignment vertical="center"/>
      <protection locked="0" hidden="1"/>
    </xf>
    <xf numFmtId="9" fontId="63" fillId="41" borderId="148" xfId="10" applyNumberFormat="1" applyBorder="1" applyAlignment="1">
      <alignment vertical="center"/>
      <protection locked="0" hidden="1"/>
    </xf>
    <xf numFmtId="9" fontId="63" fillId="41" borderId="143" xfId="10" applyNumberFormat="1" applyFont="1" applyBorder="1" applyAlignment="1">
      <alignment vertical="center"/>
      <protection locked="0" hidden="1"/>
    </xf>
    <xf numFmtId="9" fontId="63" fillId="41" borderId="144" xfId="10" applyNumberFormat="1" applyBorder="1" applyAlignment="1">
      <alignment vertical="center"/>
      <protection locked="0" hidden="1"/>
    </xf>
    <xf numFmtId="0" fontId="24" fillId="0" borderId="0" xfId="7" applyFill="1" applyBorder="1" applyAlignment="1"/>
    <xf numFmtId="41" fontId="63" fillId="41" borderId="127" xfId="10" applyNumberFormat="1" applyBorder="1" applyAlignment="1">
      <alignment vertical="center"/>
      <protection locked="0" hidden="1"/>
    </xf>
    <xf numFmtId="0" fontId="7" fillId="28" borderId="15" xfId="20" applyBorder="1" applyAlignment="1">
      <alignment horizontal="center" wrapText="1"/>
      <protection hidden="1"/>
    </xf>
    <xf numFmtId="0" fontId="3" fillId="33" borderId="84" xfId="12" applyNumberFormat="1" applyFont="1" applyBorder="1" applyAlignment="1">
      <protection hidden="1"/>
    </xf>
    <xf numFmtId="0" fontId="3" fillId="33" borderId="79" xfId="12" applyNumberFormat="1" applyFont="1" applyBorder="1" applyAlignment="1">
      <alignment wrapText="1"/>
      <protection hidden="1"/>
    </xf>
    <xf numFmtId="0" fontId="3" fillId="33" borderId="26" xfId="12" applyNumberFormat="1" applyFont="1" applyBorder="1" applyAlignment="1">
      <alignment wrapText="1"/>
      <protection hidden="1"/>
    </xf>
    <xf numFmtId="0" fontId="3" fillId="33" borderId="79" xfId="12" applyNumberFormat="1" applyFont="1" applyBorder="1" applyAlignment="1">
      <alignment horizontal="left" vertical="center" wrapText="1"/>
      <protection hidden="1"/>
    </xf>
    <xf numFmtId="0" fontId="3" fillId="33" borderId="84" xfId="12" applyNumberFormat="1" applyFont="1" applyBorder="1" applyAlignment="1">
      <alignment horizontal="left" vertical="center" wrapText="1"/>
      <protection hidden="1"/>
    </xf>
    <xf numFmtId="0" fontId="7" fillId="28" borderId="47" xfId="20" applyBorder="1" applyAlignment="1">
      <alignment horizontal="center" wrapText="1"/>
      <protection hidden="1"/>
    </xf>
    <xf numFmtId="0" fontId="74" fillId="27" borderId="113" xfId="37" applyNumberFormat="1" applyFont="1" applyBorder="1" applyAlignment="1">
      <alignment vertical="center" wrapText="1"/>
      <protection locked="0"/>
    </xf>
    <xf numFmtId="0" fontId="49" fillId="27" borderId="75" xfId="37" applyNumberFormat="1" applyBorder="1" applyAlignment="1">
      <alignment vertical="center" wrapText="1"/>
      <protection locked="0"/>
    </xf>
    <xf numFmtId="0" fontId="74" fillId="27" borderId="74" xfId="37" applyNumberFormat="1" applyFont="1" applyBorder="1" applyAlignment="1">
      <alignment vertical="center" wrapText="1"/>
      <protection locked="0"/>
    </xf>
    <xf numFmtId="0" fontId="74" fillId="27" borderId="67" xfId="37" applyNumberFormat="1" applyFont="1" applyBorder="1" applyAlignment="1">
      <alignment vertical="center" wrapText="1"/>
      <protection locked="0"/>
    </xf>
    <xf numFmtId="0" fontId="74" fillId="27" borderId="114" xfId="37" applyNumberFormat="1" applyFont="1" applyBorder="1" applyAlignment="1">
      <alignment vertical="center" wrapText="1"/>
      <protection locked="0"/>
    </xf>
    <xf numFmtId="0" fontId="74" fillId="27" borderId="97" xfId="37" applyNumberFormat="1" applyFont="1" applyBorder="1" applyAlignment="1">
      <alignment vertical="center" wrapText="1"/>
      <protection locked="0"/>
    </xf>
    <xf numFmtId="0" fontId="74" fillId="27" borderId="29" xfId="37" applyNumberFormat="1" applyFont="1" applyBorder="1" applyAlignment="1">
      <alignment vertical="center" wrapText="1"/>
      <protection locked="0"/>
    </xf>
    <xf numFmtId="0" fontId="74" fillId="27" borderId="156" xfId="37" applyNumberFormat="1" applyFont="1" applyBorder="1" applyAlignment="1">
      <alignment vertical="center" wrapText="1"/>
      <protection locked="0"/>
    </xf>
    <xf numFmtId="0" fontId="49" fillId="27" borderId="156" xfId="37" applyNumberFormat="1" applyBorder="1" applyAlignment="1">
      <alignment vertical="center" wrapText="1"/>
      <protection locked="0"/>
    </xf>
    <xf numFmtId="0" fontId="49" fillId="27" borderId="97" xfId="37" applyNumberFormat="1" applyBorder="1" applyAlignment="1">
      <alignment vertical="center" wrapText="1"/>
      <protection locked="0"/>
    </xf>
    <xf numFmtId="0" fontId="74" fillId="27" borderId="125" xfId="37" applyNumberFormat="1" applyFont="1" applyBorder="1" applyAlignment="1">
      <alignment vertical="center" wrapText="1"/>
      <protection locked="0"/>
    </xf>
    <xf numFmtId="0" fontId="49" fillId="27" borderId="125" xfId="37" applyNumberFormat="1" applyBorder="1" applyAlignment="1">
      <alignment vertical="center" wrapText="1"/>
      <protection locked="0"/>
    </xf>
    <xf numFmtId="0" fontId="49" fillId="27" borderId="29" xfId="37" applyNumberFormat="1" applyBorder="1" applyAlignment="1">
      <alignment vertical="center" wrapText="1"/>
      <protection locked="0"/>
    </xf>
    <xf numFmtId="0" fontId="7" fillId="28" borderId="66" xfId="20" applyBorder="1" applyAlignment="1">
      <alignment horizontal="center" wrapText="1"/>
      <protection hidden="1"/>
    </xf>
    <xf numFmtId="0" fontId="7" fillId="28" borderId="82" xfId="20" applyBorder="1" applyAlignment="1">
      <alignment horizontal="center" wrapText="1"/>
      <protection hidden="1"/>
    </xf>
    <xf numFmtId="0" fontId="74" fillId="27" borderId="157" xfId="37" applyNumberFormat="1" applyFont="1" applyBorder="1" applyAlignment="1">
      <alignment vertical="center" wrapText="1"/>
      <protection locked="0"/>
    </xf>
    <xf numFmtId="0" fontId="74" fillId="27" borderId="159" xfId="37" applyNumberFormat="1" applyFont="1" applyBorder="1" applyAlignment="1">
      <alignment vertical="center" wrapText="1"/>
      <protection locked="0"/>
    </xf>
    <xf numFmtId="0" fontId="7" fillId="28" borderId="81" xfId="20" applyBorder="1" applyAlignment="1">
      <alignment horizontal="center" wrapText="1"/>
      <protection hidden="1"/>
    </xf>
    <xf numFmtId="0" fontId="7" fillId="28" borderId="80" xfId="20" applyBorder="1" applyAlignment="1">
      <alignment horizontal="center" wrapText="1"/>
      <protection hidden="1"/>
    </xf>
    <xf numFmtId="0" fontId="48" fillId="28" borderId="15" xfId="20" applyFont="1" applyBorder="1" applyAlignment="1">
      <alignment horizontal="center" wrapText="1"/>
      <protection hidden="1"/>
    </xf>
    <xf numFmtId="0" fontId="48" fillId="28" borderId="17" xfId="20" applyFont="1" applyBorder="1" applyAlignment="1">
      <alignment horizontal="center" wrapText="1"/>
      <protection hidden="1"/>
    </xf>
    <xf numFmtId="0" fontId="48" fillId="28" borderId="47" xfId="20" applyFont="1" applyBorder="1" applyAlignment="1">
      <alignment horizontal="center" wrapText="1"/>
      <protection hidden="1"/>
    </xf>
    <xf numFmtId="0" fontId="0" fillId="33" borderId="26" xfId="12" applyFont="1" applyBorder="1" applyAlignment="1">
      <alignment horizontal="left" vertical="center" wrapText="1"/>
      <protection hidden="1"/>
    </xf>
    <xf numFmtId="171" fontId="3" fillId="26" borderId="50" xfId="3" applyNumberFormat="1" applyBorder="1" applyAlignment="1">
      <alignment vertical="center" wrapText="1"/>
    </xf>
    <xf numFmtId="171" fontId="3" fillId="26" borderId="27" xfId="3" applyNumberFormat="1" applyBorder="1" applyAlignment="1">
      <alignment vertical="center" wrapText="1"/>
    </xf>
    <xf numFmtId="0" fontId="0" fillId="33" borderId="84" xfId="12" applyFont="1" applyBorder="1" applyAlignment="1">
      <alignment horizontal="left" vertical="center" wrapText="1"/>
      <protection hidden="1"/>
    </xf>
    <xf numFmtId="0" fontId="0" fillId="33" borderId="83" xfId="12" applyFont="1" applyBorder="1" applyAlignment="1">
      <alignment horizontal="left" vertical="center" wrapText="1"/>
      <protection hidden="1"/>
    </xf>
    <xf numFmtId="171" fontId="7" fillId="32" borderId="28" xfId="32" applyNumberFormat="1" applyBorder="1" applyAlignment="1">
      <alignment vertical="center" wrapText="1"/>
    </xf>
    <xf numFmtId="0" fontId="7" fillId="28" borderId="64" xfId="20" applyBorder="1" applyAlignment="1">
      <alignment horizontal="center" wrapText="1"/>
      <protection hidden="1"/>
    </xf>
    <xf numFmtId="0" fontId="7" fillId="33" borderId="26" xfId="12" applyNumberFormat="1" applyFont="1" applyBorder="1" applyAlignment="1">
      <alignment horizontal="left" vertical="center" wrapText="1"/>
      <protection hidden="1"/>
    </xf>
    <xf numFmtId="0" fontId="7" fillId="33" borderId="83" xfId="12" applyNumberFormat="1" applyFont="1" applyBorder="1" applyAlignment="1">
      <alignment horizontal="left" vertical="center" wrapText="1"/>
      <protection hidden="1"/>
    </xf>
    <xf numFmtId="0" fontId="3" fillId="33" borderId="26" xfId="12" applyNumberFormat="1" applyBorder="1" applyAlignment="1">
      <alignment horizontal="left" vertical="center" wrapText="1"/>
      <protection hidden="1"/>
    </xf>
    <xf numFmtId="0" fontId="3" fillId="33" borderId="83" xfId="12" applyNumberFormat="1" applyBorder="1" applyAlignment="1">
      <alignment horizontal="left" vertical="center" wrapText="1"/>
      <protection hidden="1"/>
    </xf>
    <xf numFmtId="0" fontId="3" fillId="33" borderId="42" xfId="12" applyNumberFormat="1" applyBorder="1" applyAlignment="1">
      <alignment horizontal="left" vertical="center" wrapText="1"/>
      <protection hidden="1"/>
    </xf>
    <xf numFmtId="0" fontId="3" fillId="26" borderId="62" xfId="3" applyNumberFormat="1" applyBorder="1" applyAlignment="1">
      <alignment vertical="center" wrapText="1"/>
    </xf>
    <xf numFmtId="0" fontId="3" fillId="26" borderId="63" xfId="3" applyNumberFormat="1" applyBorder="1" applyAlignment="1">
      <alignment vertical="center" wrapText="1"/>
    </xf>
    <xf numFmtId="0" fontId="3" fillId="26" borderId="31" xfId="3" applyNumberFormat="1" applyBorder="1" applyAlignment="1">
      <alignment vertical="center" wrapText="1"/>
    </xf>
    <xf numFmtId="0" fontId="24" fillId="0" borderId="64" xfId="7" applyFill="1" applyBorder="1" applyAlignment="1"/>
    <xf numFmtId="0" fontId="25" fillId="0" borderId="0" xfId="8" applyFill="1" applyBorder="1" applyAlignment="1"/>
    <xf numFmtId="0" fontId="25" fillId="0" borderId="65" xfId="8" applyFill="1" applyBorder="1" applyAlignment="1"/>
    <xf numFmtId="0" fontId="3" fillId="42" borderId="28" xfId="32" applyNumberFormat="1" applyFont="1" applyFill="1" applyAlignment="1">
      <alignment vertical="center" wrapText="1"/>
    </xf>
    <xf numFmtId="0" fontId="3" fillId="32" borderId="28" xfId="32" applyNumberFormat="1" applyFont="1" applyAlignment="1">
      <alignment vertical="center" wrapText="1"/>
    </xf>
  </cellXfs>
  <cellStyles count="76">
    <cellStyle name="20% - Accent1 2" xfId="53" xr:uid="{00000000-0005-0000-0000-000000000000}"/>
    <cellStyle name="20% - Accent2 2" xfId="56" xr:uid="{00000000-0005-0000-0000-000002000000}"/>
    <cellStyle name="20% - Accent3 2" xfId="59" xr:uid="{00000000-0005-0000-0000-000003000000}"/>
    <cellStyle name="20% - Accent4 2" xfId="61" xr:uid="{00000000-0005-0000-0000-000004000000}"/>
    <cellStyle name="20% - Accent5 2" xfId="63" xr:uid="{00000000-0005-0000-0000-000005000000}"/>
    <cellStyle name="20% - Accent6 2" xfId="65" xr:uid="{00000000-0005-0000-0000-000006000000}"/>
    <cellStyle name="40% - Accent1 2" xfId="54" xr:uid="{00000000-0005-0000-0000-000007000000}"/>
    <cellStyle name="40% - Accent2 2" xfId="57" xr:uid="{00000000-0005-0000-0000-000008000000}"/>
    <cellStyle name="Accent1 2" xfId="52" xr:uid="{00000000-0005-0000-0000-000009000000}"/>
    <cellStyle name="Accent2 2" xfId="55" xr:uid="{00000000-0005-0000-0000-00000B000000}"/>
    <cellStyle name="Accent3 2" xfId="58" xr:uid="{00000000-0005-0000-0000-00000C000000}"/>
    <cellStyle name="Accent4 2" xfId="60" xr:uid="{00000000-0005-0000-0000-00000D000000}"/>
    <cellStyle name="Accent5 2" xfId="62" xr:uid="{00000000-0005-0000-0000-00000E000000}"/>
    <cellStyle name="Accent6 2" xfId="64" xr:uid="{00000000-0005-0000-0000-00000F000000}"/>
    <cellStyle name="Bad" xfId="21" builtinId="27" hidden="1" customBuiltin="1"/>
    <cellStyle name="Bad" xfId="16" builtinId="27" hidden="1"/>
    <cellStyle name="Box Background" xfId="38" xr:uid="{00000000-0005-0000-0000-000012000000}"/>
    <cellStyle name="Button" xfId="74" xr:uid="{00000000-0005-0000-0000-000013000000}"/>
    <cellStyle name="Calculation" xfId="30" builtinId="22" hidden="1"/>
    <cellStyle name="Calculation" xfId="49" builtinId="22" customBuiltin="1"/>
    <cellStyle name="Cell" xfId="41" xr:uid="{00000000-0005-0000-0000-000016000000}"/>
    <cellStyle name="Cell 2" xfId="67" xr:uid="{00000000-0005-0000-0000-000017000000}"/>
    <cellStyle name="Check Cell" xfId="22" builtinId="23" hidden="1" customBuiltin="1"/>
    <cellStyle name="Check Cell" xfId="19" builtinId="23" hidden="1"/>
    <cellStyle name="Col Title" xfId="20" xr:uid="{00000000-0005-0000-0000-00001A000000}"/>
    <cellStyle name="Col Title 2" xfId="66" xr:uid="{00000000-0005-0000-0000-00001B000000}"/>
    <cellStyle name="Col Total" xfId="32" xr:uid="{00000000-0005-0000-0000-00001C000000}"/>
    <cellStyle name="Col Total 2" xfId="72" xr:uid="{00000000-0005-0000-0000-00001D000000}"/>
    <cellStyle name="Comma" xfId="1" builtinId="3" customBuiltin="1"/>
    <cellStyle name="Comma [0]" xfId="26" builtinId="6" hidden="1"/>
    <cellStyle name="Comma 2" xfId="70" xr:uid="{00000000-0005-0000-0000-000020000000}"/>
    <cellStyle name="Comments" xfId="37" xr:uid="{00000000-0005-0000-0000-000021000000}"/>
    <cellStyle name="CtlButton" xfId="75" xr:uid="{00000000-0005-0000-0000-000022000000}"/>
    <cellStyle name="Currency" xfId="2" builtinId="4" customBuiltin="1"/>
    <cellStyle name="Currency [0]" xfId="27" builtinId="7" hidden="1"/>
    <cellStyle name="Currency 2" xfId="44" xr:uid="{00000000-0005-0000-0000-000025000000}"/>
    <cellStyle name="Data" xfId="3" xr:uid="{00000000-0005-0000-0000-000026000000}"/>
    <cellStyle name="Data Small" xfId="39" xr:uid="{00000000-0005-0000-0000-000027000000}"/>
    <cellStyle name="Explanatory Text" xfId="4" builtinId="53" customBuiltin="1"/>
    <cellStyle name="Explanatory Text 2" xfId="51" xr:uid="{00000000-0005-0000-0000-000029000000}"/>
    <cellStyle name="Good" xfId="23" builtinId="26" hidden="1" customBuiltin="1"/>
    <cellStyle name="Good" xfId="15" builtinId="26" hidden="1"/>
    <cellStyle name="Heading 1" xfId="5" builtinId="16" customBuiltin="1"/>
    <cellStyle name="Heading 1 2" xfId="45" xr:uid="{00000000-0005-0000-0000-00002D000000}"/>
    <cellStyle name="Heading 2" xfId="6" builtinId="17" customBuiltin="1"/>
    <cellStyle name="Heading 2 2" xfId="46" xr:uid="{00000000-0005-0000-0000-00002F000000}"/>
    <cellStyle name="Heading 3" xfId="7" builtinId="18" customBuiltin="1"/>
    <cellStyle name="Heading 3 2" xfId="47" xr:uid="{00000000-0005-0000-0000-000031000000}"/>
    <cellStyle name="Heading 4" xfId="8" builtinId="19" customBuiltin="1"/>
    <cellStyle name="Heading 4 2" xfId="48" xr:uid="{00000000-0005-0000-0000-000033000000}"/>
    <cellStyle name="Hyperlink" xfId="9" builtinId="8"/>
    <cellStyle name="Hyperlink 2" xfId="71" xr:uid="{00000000-0005-0000-0000-000035000000}"/>
    <cellStyle name="Input" xfId="28" builtinId="20" hidden="1"/>
    <cellStyle name="Input" xfId="42" xr:uid="{00000000-0005-0000-0000-000037000000}"/>
    <cellStyle name="Input Cell" xfId="10" xr:uid="{00000000-0005-0000-0000-000038000000}"/>
    <cellStyle name="Linked Cell" xfId="24" builtinId="24" hidden="1" customBuiltin="1"/>
    <cellStyle name="Linked Cell" xfId="18" builtinId="24" hidden="1"/>
    <cellStyle name="Neutral" xfId="25" builtinId="28" hidden="1" customBuiltin="1"/>
    <cellStyle name="Neutral" xfId="17" builtinId="28" hidden="1"/>
    <cellStyle name="Normal" xfId="0" builtinId="0" customBuiltin="1"/>
    <cellStyle name="Normal 2" xfId="43" xr:uid="{00000000-0005-0000-0000-00003E000000}"/>
    <cellStyle name="Note" xfId="31" builtinId="10" hidden="1"/>
    <cellStyle name="Note" xfId="50" builtinId="10" customBuiltin="1"/>
    <cellStyle name="Output" xfId="29" builtinId="21" hidden="1"/>
    <cellStyle name="Percent" xfId="11" builtinId="5"/>
    <cellStyle name="Percent 2" xfId="69" xr:uid="{00000000-0005-0000-0000-000043000000}"/>
    <cellStyle name="Row Title" xfId="12" xr:uid="{00000000-0005-0000-0000-000044000000}"/>
    <cellStyle name="Row Title 2" xfId="73" xr:uid="{00000000-0005-0000-0000-000045000000}"/>
    <cellStyle name="Small" xfId="68" xr:uid="{00000000-0005-0000-0000-000046000000}"/>
    <cellStyle name="Title" xfId="33" builtinId="15" hidden="1"/>
    <cellStyle name="Title" xfId="35" builtinId="15" hidden="1"/>
    <cellStyle name="Title" xfId="13" builtinId="15" hidden="1" customBuiltin="1"/>
    <cellStyle name="Title" xfId="40" builtinId="15"/>
    <cellStyle name="Total" xfId="34" builtinId="25" hidden="1"/>
    <cellStyle name="Total" xfId="36" builtinId="25" hidden="1"/>
    <cellStyle name="Total" xfId="14" builtinId="25" hidden="1" customBuiltin="1"/>
  </cellStyles>
  <dxfs count="1">
    <dxf>
      <fill>
        <patternFill>
          <bgColor rgb="FFFF0000"/>
        </patternFill>
      </fill>
    </dxf>
  </dxfs>
  <tableStyles count="0" defaultTableStyle="TableStyleMedium9" defaultPivotStyle="PivotStyleLight16"/>
  <colors>
    <mruColors>
      <color rgb="FFEFF3FB"/>
      <color rgb="FFFFFFFF"/>
      <color rgb="FFFFFFE1"/>
      <color rgb="FF0000FF"/>
      <color rgb="FFFCFAEE"/>
      <color rgb="FFE4EAF4"/>
      <color rgb="FFD4E4F8"/>
      <color rgb="FFECF1FA"/>
      <color rgb="FFEAEFFA"/>
      <color rgb="FFE4E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hart>
    <c:title>
      <c:tx>
        <c:strRef>
          <c:f>KPIs!$N$46</c:f>
          <c:strCache>
            <c:ptCount val="1"/>
            <c:pt idx="0">
              <c:v>KPI Performance Comparison</c:v>
            </c:pt>
          </c:strCache>
        </c:strRef>
      </c:tx>
      <c:overlay val="0"/>
      <c:txPr>
        <a:bodyPr/>
        <a:lstStyle/>
        <a:p>
          <a:pPr>
            <a:defRPr/>
          </a:pPr>
          <a:endParaRPr lang="en-US"/>
        </a:p>
      </c:txPr>
    </c:title>
    <c:autoTitleDeleted val="0"/>
    <c:plotArea>
      <c:layout>
        <c:manualLayout>
          <c:layoutTarget val="inner"/>
          <c:xMode val="edge"/>
          <c:yMode val="edge"/>
          <c:x val="0.24018360381008713"/>
          <c:y val="0.18464041994750671"/>
          <c:w val="0.72414451714662464"/>
          <c:h val="0.499910283941781"/>
        </c:manualLayout>
      </c:layout>
      <c:barChart>
        <c:barDir val="col"/>
        <c:grouping val="clustered"/>
        <c:varyColors val="0"/>
        <c:ser>
          <c:idx val="0"/>
          <c:order val="0"/>
          <c:tx>
            <c:strRef>
              <c:f>KPIs!$F$40</c:f>
              <c:strCache>
                <c:ptCount val="1"/>
                <c:pt idx="0">
                  <c:v>As-Is</c:v>
                </c:pt>
              </c:strCache>
            </c:strRef>
          </c:tx>
          <c:invertIfNegative val="0"/>
          <c:dLbls>
            <c:spPr>
              <a:noFill/>
              <a:ln>
                <a:noFill/>
              </a:ln>
              <a:effectLst/>
            </c:spPr>
            <c:txPr>
              <a:bodyPr/>
              <a:lstStyle/>
              <a:p>
                <a:pPr>
                  <a:defRPr sz="8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KPIs!$B$41:$E$44</c:f>
              <c:strCache>
                <c:ptCount val="4"/>
                <c:pt idx="0">
                  <c:v>Sales/Marketing Performance</c:v>
                </c:pt>
                <c:pt idx="1">
                  <c:v>Business Management Effectiveness</c:v>
                </c:pt>
                <c:pt idx="2">
                  <c:v>Supply/Operations Performance</c:v>
                </c:pt>
                <c:pt idx="3">
                  <c:v>Technology Effectiveness</c:v>
                </c:pt>
              </c:strCache>
            </c:strRef>
          </c:cat>
          <c:val>
            <c:numRef>
              <c:f>KPIs!$F$41:$F$44</c:f>
              <c:numCache>
                <c:formatCode>0%</c:formatCode>
                <c:ptCount val="4"/>
                <c:pt idx="0">
                  <c:v>0.3</c:v>
                </c:pt>
                <c:pt idx="1">
                  <c:v>0.3</c:v>
                </c:pt>
                <c:pt idx="2">
                  <c:v>0.3</c:v>
                </c:pt>
                <c:pt idx="3">
                  <c:v>0.3</c:v>
                </c:pt>
              </c:numCache>
            </c:numRef>
          </c:val>
          <c:extLst>
            <c:ext xmlns:c16="http://schemas.microsoft.com/office/drawing/2014/chart" uri="{C3380CC4-5D6E-409C-BE32-E72D297353CC}">
              <c16:uniqueId val="{00000000-E964-417E-9BE4-A12EB828C481}"/>
            </c:ext>
          </c:extLst>
        </c:ser>
        <c:ser>
          <c:idx val="1"/>
          <c:order val="1"/>
          <c:tx>
            <c:strRef>
              <c:f>KPIs!$G$40</c:f>
              <c:strCache>
                <c:ptCount val="1"/>
                <c:pt idx="0">
                  <c:v>To-Be</c:v>
                </c:pt>
              </c:strCache>
            </c:strRef>
          </c:tx>
          <c:invertIfNegative val="0"/>
          <c:dLbls>
            <c:spPr>
              <a:noFill/>
              <a:ln>
                <a:noFill/>
              </a:ln>
              <a:effectLst/>
            </c:spPr>
            <c:txPr>
              <a:bodyPr/>
              <a:lstStyle/>
              <a:p>
                <a:pPr>
                  <a:defRPr sz="8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KPIs!$B$41:$E$44</c:f>
              <c:strCache>
                <c:ptCount val="4"/>
                <c:pt idx="0">
                  <c:v>Sales/Marketing Performance</c:v>
                </c:pt>
                <c:pt idx="1">
                  <c:v>Business Management Effectiveness</c:v>
                </c:pt>
                <c:pt idx="2">
                  <c:v>Supply/Operations Performance</c:v>
                </c:pt>
                <c:pt idx="3">
                  <c:v>Technology Effectiveness</c:v>
                </c:pt>
              </c:strCache>
            </c:strRef>
          </c:cat>
          <c:val>
            <c:numRef>
              <c:f>KPIs!$G$41:$G$44</c:f>
              <c:numCache>
                <c:formatCode>0%</c:formatCode>
                <c:ptCount val="4"/>
                <c:pt idx="0">
                  <c:v>0.3</c:v>
                </c:pt>
                <c:pt idx="1">
                  <c:v>0.3</c:v>
                </c:pt>
                <c:pt idx="2">
                  <c:v>0.3</c:v>
                </c:pt>
                <c:pt idx="3">
                  <c:v>0.36149999999999999</c:v>
                </c:pt>
              </c:numCache>
            </c:numRef>
          </c:val>
          <c:extLst>
            <c:ext xmlns:c16="http://schemas.microsoft.com/office/drawing/2014/chart" uri="{C3380CC4-5D6E-409C-BE32-E72D297353CC}">
              <c16:uniqueId val="{00000001-E964-417E-9BE4-A12EB828C481}"/>
            </c:ext>
          </c:extLst>
        </c:ser>
        <c:dLbls>
          <c:showLegendKey val="0"/>
          <c:showVal val="1"/>
          <c:showCatName val="0"/>
          <c:showSerName val="0"/>
          <c:showPercent val="0"/>
          <c:showBubbleSize val="0"/>
        </c:dLbls>
        <c:gapWidth val="150"/>
        <c:axId val="136409088"/>
        <c:axId val="136410624"/>
      </c:barChart>
      <c:catAx>
        <c:axId val="136409088"/>
        <c:scaling>
          <c:orientation val="minMax"/>
        </c:scaling>
        <c:delete val="0"/>
        <c:axPos val="b"/>
        <c:numFmt formatCode="General" sourceLinked="0"/>
        <c:majorTickMark val="none"/>
        <c:minorTickMark val="none"/>
        <c:tickLblPos val="nextTo"/>
        <c:txPr>
          <a:bodyPr rot="-5400000" vert="horz"/>
          <a:lstStyle/>
          <a:p>
            <a:pPr>
              <a:defRPr sz="900"/>
            </a:pPr>
            <a:endParaRPr lang="en-US"/>
          </a:p>
        </c:txPr>
        <c:crossAx val="136410624"/>
        <c:crosses val="autoZero"/>
        <c:auto val="1"/>
        <c:lblAlgn val="ctr"/>
        <c:lblOffset val="100"/>
        <c:noMultiLvlLbl val="0"/>
      </c:catAx>
      <c:valAx>
        <c:axId val="136410624"/>
        <c:scaling>
          <c:orientation val="minMax"/>
          <c:max val="1"/>
          <c:min val="0"/>
        </c:scaling>
        <c:delete val="0"/>
        <c:axPos val="l"/>
        <c:majorGridlines/>
        <c:title>
          <c:tx>
            <c:strRef>
              <c:f>KPIs!$N$47</c:f>
              <c:strCache>
                <c:ptCount val="1"/>
                <c:pt idx="0">
                  <c:v>Performance Percentile</c:v>
                </c:pt>
              </c:strCache>
            </c:strRef>
          </c:tx>
          <c:overlay val="0"/>
          <c:txPr>
            <a:bodyPr rot="-5400000" vert="horz"/>
            <a:lstStyle/>
            <a:p>
              <a:pPr>
                <a:defRPr/>
              </a:pPr>
              <a:endParaRPr lang="en-US"/>
            </a:p>
          </c:txPr>
        </c:title>
        <c:numFmt formatCode="0%" sourceLinked="0"/>
        <c:majorTickMark val="none"/>
        <c:minorTickMark val="none"/>
        <c:tickLblPos val="nextTo"/>
        <c:crossAx val="136409088"/>
        <c:crosses val="autoZero"/>
        <c:crossBetween val="between"/>
      </c:valAx>
    </c:plotArea>
    <c:legend>
      <c:legendPos val="r"/>
      <c:layout>
        <c:manualLayout>
          <c:xMode val="edge"/>
          <c:yMode val="edge"/>
          <c:x val="0.54812078316818913"/>
          <c:y val="9.7980116121848385E-2"/>
          <c:w val="0.42457945559784893"/>
          <c:h val="0.10141223256183898"/>
        </c:manualLayout>
      </c:layout>
      <c:overlay val="0"/>
      <c:txPr>
        <a:bodyPr/>
        <a:lstStyle/>
        <a:p>
          <a:pPr>
            <a:defRPr sz="1100"/>
          </a:pPr>
          <a:endParaRPr lang="en-US"/>
        </a:p>
      </c:txPr>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344" l="0.70000000000000062" r="0.70000000000000062" t="0.75000000000000344"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Costs!$M$57</c:f>
          <c:strCache>
            <c:ptCount val="1"/>
            <c:pt idx="0">
              <c:v>Total Implementation Costs</c:v>
            </c:pt>
          </c:strCache>
        </c:strRef>
      </c:tx>
      <c:layout>
        <c:manualLayout>
          <c:xMode val="edge"/>
          <c:yMode val="edge"/>
          <c:x val="0.15809432133941809"/>
          <c:y val="6.461928831786052E-3"/>
        </c:manualLayout>
      </c:layout>
      <c:overlay val="0"/>
      <c:txPr>
        <a:bodyPr/>
        <a:lstStyle/>
        <a:p>
          <a:pPr>
            <a:defRPr/>
          </a:pPr>
          <a:endParaRPr lang="en-US"/>
        </a:p>
      </c:txPr>
    </c:title>
    <c:autoTitleDeleted val="0"/>
    <c:plotArea>
      <c:layout>
        <c:manualLayout>
          <c:layoutTarget val="inner"/>
          <c:xMode val="edge"/>
          <c:yMode val="edge"/>
          <c:x val="0.30149114173228347"/>
          <c:y val="0.19032590235683455"/>
          <c:w val="0.30901246719160436"/>
          <c:h val="0.69569916292432765"/>
        </c:manualLayout>
      </c:layout>
      <c:barChart>
        <c:barDir val="col"/>
        <c:grouping val="stacked"/>
        <c:varyColors val="0"/>
        <c:ser>
          <c:idx val="0"/>
          <c:order val="0"/>
          <c:tx>
            <c:strRef>
              <c:f>Costs!$C$36</c:f>
              <c:strCache>
                <c:ptCount val="1"/>
                <c:pt idx="0">
                  <c:v>Client Hardware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Costs!$F$34</c:f>
              <c:strCache>
                <c:ptCount val="1"/>
                <c:pt idx="0">
                  <c:v>Project Total</c:v>
                </c:pt>
              </c:strCache>
            </c:strRef>
          </c:cat>
          <c:val>
            <c:numRef>
              <c:f>Costs!$F$36</c:f>
              <c:numCache>
                <c:formatCode>_([$$]* #,##0_);_([$$]* \(#,##0\);_([$$]* "-"_);_(@_)</c:formatCode>
                <c:ptCount val="1"/>
                <c:pt idx="0">
                  <c:v>0</c:v>
                </c:pt>
              </c:numCache>
            </c:numRef>
          </c:val>
          <c:extLst>
            <c:ext xmlns:c16="http://schemas.microsoft.com/office/drawing/2014/chart" uri="{C3380CC4-5D6E-409C-BE32-E72D297353CC}">
              <c16:uniqueId val="{00000000-E01C-4633-BC9D-80EDAC51D7AB}"/>
            </c:ext>
          </c:extLst>
        </c:ser>
        <c:ser>
          <c:idx val="1"/>
          <c:order val="1"/>
          <c:tx>
            <c:strRef>
              <c:f>Costs!$C$37</c:f>
              <c:strCache>
                <c:ptCount val="1"/>
                <c:pt idx="0">
                  <c:v>Data Center Hardware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Costs!$F$34</c:f>
              <c:strCache>
                <c:ptCount val="1"/>
                <c:pt idx="0">
                  <c:v>Project Total</c:v>
                </c:pt>
              </c:strCache>
            </c:strRef>
          </c:cat>
          <c:val>
            <c:numRef>
              <c:f>Costs!$F$37</c:f>
              <c:numCache>
                <c:formatCode>_([$$]* #,##0_);_([$$]* \(#,##0\);_([$$]* "-"_);_(@_)</c:formatCode>
                <c:ptCount val="1"/>
                <c:pt idx="0">
                  <c:v>72245.063668897361</c:v>
                </c:pt>
              </c:numCache>
            </c:numRef>
          </c:val>
          <c:extLst>
            <c:ext xmlns:c16="http://schemas.microsoft.com/office/drawing/2014/chart" uri="{C3380CC4-5D6E-409C-BE32-E72D297353CC}">
              <c16:uniqueId val="{00000001-E01C-4633-BC9D-80EDAC51D7AB}"/>
            </c:ext>
          </c:extLst>
        </c:ser>
        <c:ser>
          <c:idx val="2"/>
          <c:order val="2"/>
          <c:tx>
            <c:strRef>
              <c:f>Costs!$C$40</c:f>
              <c:strCache>
                <c:ptCount val="1"/>
                <c:pt idx="0">
                  <c:v>Client Software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Costs!$F$34</c:f>
              <c:strCache>
                <c:ptCount val="1"/>
                <c:pt idx="0">
                  <c:v>Project Total</c:v>
                </c:pt>
              </c:strCache>
            </c:strRef>
          </c:cat>
          <c:val>
            <c:numRef>
              <c:f>Costs!$F$40</c:f>
              <c:numCache>
                <c:formatCode>_([$$]* #,##0_);_([$$]* \(#,##0\);_([$$]* "-"_);_(@_)</c:formatCode>
                <c:ptCount val="1"/>
                <c:pt idx="0">
                  <c:v>60651.451070602867</c:v>
                </c:pt>
              </c:numCache>
            </c:numRef>
          </c:val>
          <c:extLst>
            <c:ext xmlns:c16="http://schemas.microsoft.com/office/drawing/2014/chart" uri="{C3380CC4-5D6E-409C-BE32-E72D297353CC}">
              <c16:uniqueId val="{00000002-E01C-4633-BC9D-80EDAC51D7AB}"/>
            </c:ext>
          </c:extLst>
        </c:ser>
        <c:ser>
          <c:idx val="3"/>
          <c:order val="3"/>
          <c:tx>
            <c:strRef>
              <c:f>Costs!$C$41</c:f>
              <c:strCache>
                <c:ptCount val="1"/>
                <c:pt idx="0">
                  <c:v>Server Software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Costs!$F$34</c:f>
              <c:strCache>
                <c:ptCount val="1"/>
                <c:pt idx="0">
                  <c:v>Project Total</c:v>
                </c:pt>
              </c:strCache>
            </c:strRef>
          </c:cat>
          <c:val>
            <c:numRef>
              <c:f>Costs!$F$41</c:f>
              <c:numCache>
                <c:formatCode>_([$$]* #,##0_);_([$$]* \(#,##0\);_([$$]* "-"_);_(@_)</c:formatCode>
                <c:ptCount val="1"/>
                <c:pt idx="0">
                  <c:v>123275.3070540709</c:v>
                </c:pt>
              </c:numCache>
            </c:numRef>
          </c:val>
          <c:extLst>
            <c:ext xmlns:c16="http://schemas.microsoft.com/office/drawing/2014/chart" uri="{C3380CC4-5D6E-409C-BE32-E72D297353CC}">
              <c16:uniqueId val="{00000003-E01C-4633-BC9D-80EDAC51D7AB}"/>
            </c:ext>
          </c:extLst>
        </c:ser>
        <c:ser>
          <c:idx val="4"/>
          <c:order val="4"/>
          <c:tx>
            <c:strRef>
              <c:f>Costs!$C$44</c:f>
              <c:strCache>
                <c:ptCount val="1"/>
                <c:pt idx="0">
                  <c:v>One-time Implementation Labor/Services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Costs!$F$34</c:f>
              <c:strCache>
                <c:ptCount val="1"/>
                <c:pt idx="0">
                  <c:v>Project Total</c:v>
                </c:pt>
              </c:strCache>
            </c:strRef>
          </c:cat>
          <c:val>
            <c:numRef>
              <c:f>Costs!$F$44</c:f>
              <c:numCache>
                <c:formatCode>_([$$]* #,##0_);_([$$]* \(#,##0\);_([$$]* "-"_);_(@_)</c:formatCode>
                <c:ptCount val="1"/>
                <c:pt idx="0">
                  <c:v>49488.725422755226</c:v>
                </c:pt>
              </c:numCache>
            </c:numRef>
          </c:val>
          <c:extLst>
            <c:ext xmlns:c16="http://schemas.microsoft.com/office/drawing/2014/chart" uri="{C3380CC4-5D6E-409C-BE32-E72D297353CC}">
              <c16:uniqueId val="{00000004-E01C-4633-BC9D-80EDAC51D7AB}"/>
            </c:ext>
          </c:extLst>
        </c:ser>
        <c:ser>
          <c:idx val="5"/>
          <c:order val="5"/>
          <c:tx>
            <c:strRef>
              <c:f>Costs!$C$45</c:f>
              <c:strCache>
                <c:ptCount val="1"/>
                <c:pt idx="0">
                  <c:v>Annual On-Going Labor/Services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Costs!$F$34</c:f>
              <c:strCache>
                <c:ptCount val="1"/>
                <c:pt idx="0">
                  <c:v>Project Total</c:v>
                </c:pt>
              </c:strCache>
            </c:strRef>
          </c:cat>
          <c:val>
            <c:numRef>
              <c:f>Costs!$F$45</c:f>
              <c:numCache>
                <c:formatCode>_([$$]* #,##0_);_([$$]* \(#,##0\);_([$$]* "-"_);_(@_)</c:formatCode>
                <c:ptCount val="1"/>
                <c:pt idx="0">
                  <c:v>1182.6349825290765</c:v>
                </c:pt>
              </c:numCache>
            </c:numRef>
          </c:val>
          <c:extLst>
            <c:ext xmlns:c16="http://schemas.microsoft.com/office/drawing/2014/chart" uri="{C3380CC4-5D6E-409C-BE32-E72D297353CC}">
              <c16:uniqueId val="{00000005-E01C-4633-BC9D-80EDAC51D7AB}"/>
            </c:ext>
          </c:extLst>
        </c:ser>
        <c:ser>
          <c:idx val="6"/>
          <c:order val="6"/>
          <c:tx>
            <c:strRef>
              <c:f>Costs!$C$46</c:f>
              <c:strCache>
                <c:ptCount val="1"/>
                <c:pt idx="0">
                  <c:v>Incremental Help Desk Calls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Costs!$F$34</c:f>
              <c:strCache>
                <c:ptCount val="1"/>
                <c:pt idx="0">
                  <c:v>Project Total</c:v>
                </c:pt>
              </c:strCache>
            </c:strRef>
          </c:cat>
          <c:val>
            <c:numRef>
              <c:f>Costs!$F$46</c:f>
              <c:numCache>
                <c:formatCode>_([$$]* #,##0_);_([$$]* \(#,##0\);_([$$]* "-"_);_(@_)</c:formatCode>
                <c:ptCount val="1"/>
                <c:pt idx="0">
                  <c:v>2701.5601757334543</c:v>
                </c:pt>
              </c:numCache>
            </c:numRef>
          </c:val>
          <c:extLst>
            <c:ext xmlns:c16="http://schemas.microsoft.com/office/drawing/2014/chart" uri="{C3380CC4-5D6E-409C-BE32-E72D297353CC}">
              <c16:uniqueId val="{00000006-E01C-4633-BC9D-80EDAC51D7AB}"/>
            </c:ext>
          </c:extLst>
        </c:ser>
        <c:ser>
          <c:idx val="7"/>
          <c:order val="7"/>
          <c:tx>
            <c:strRef>
              <c:f>Costs!$C$47</c:f>
              <c:strCache>
                <c:ptCount val="1"/>
                <c:pt idx="0">
                  <c:v>IT Training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Costs!$F$34</c:f>
              <c:strCache>
                <c:ptCount val="1"/>
                <c:pt idx="0">
                  <c:v>Project Total</c:v>
                </c:pt>
              </c:strCache>
            </c:strRef>
          </c:cat>
          <c:val>
            <c:numRef>
              <c:f>Costs!$F$47</c:f>
              <c:numCache>
                <c:formatCode>_([$$]* #,##0_);_([$$]* \(#,##0\);_([$$]* "-"_);_(@_)</c:formatCode>
                <c:ptCount val="1"/>
                <c:pt idx="0">
                  <c:v>40469.378964601317</c:v>
                </c:pt>
              </c:numCache>
            </c:numRef>
          </c:val>
          <c:extLst>
            <c:ext xmlns:c16="http://schemas.microsoft.com/office/drawing/2014/chart" uri="{C3380CC4-5D6E-409C-BE32-E72D297353CC}">
              <c16:uniqueId val="{00000007-E01C-4633-BC9D-80EDAC51D7AB}"/>
            </c:ext>
          </c:extLst>
        </c:ser>
        <c:ser>
          <c:idx val="8"/>
          <c:order val="8"/>
          <c:tx>
            <c:strRef>
              <c:f>Costs!$C$50</c:f>
              <c:strCache>
                <c:ptCount val="1"/>
                <c:pt idx="0">
                  <c:v>End-User Labor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Costs!$F$34</c:f>
              <c:strCache>
                <c:ptCount val="1"/>
                <c:pt idx="0">
                  <c:v>Project Total</c:v>
                </c:pt>
              </c:strCache>
            </c:strRef>
          </c:cat>
          <c:val>
            <c:numRef>
              <c:f>Costs!$F$50</c:f>
              <c:numCache>
                <c:formatCode>_([$$]* #,##0_);_([$$]* \(#,##0\);_([$$]* "-"_);_(@_)</c:formatCode>
                <c:ptCount val="1"/>
                <c:pt idx="0">
                  <c:v>31018.218163671132</c:v>
                </c:pt>
              </c:numCache>
            </c:numRef>
          </c:val>
          <c:extLst>
            <c:ext xmlns:c16="http://schemas.microsoft.com/office/drawing/2014/chart" uri="{C3380CC4-5D6E-409C-BE32-E72D297353CC}">
              <c16:uniqueId val="{00000008-E01C-4633-BC9D-80EDAC51D7AB}"/>
            </c:ext>
          </c:extLst>
        </c:ser>
        <c:ser>
          <c:idx val="9"/>
          <c:order val="9"/>
          <c:tx>
            <c:strRef>
              <c:f>Costs!$C$51</c:f>
              <c:strCache>
                <c:ptCount val="1"/>
                <c:pt idx="0">
                  <c:v>End-User Training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Costs!$F$34</c:f>
              <c:strCache>
                <c:ptCount val="1"/>
                <c:pt idx="0">
                  <c:v>Project Total</c:v>
                </c:pt>
              </c:strCache>
            </c:strRef>
          </c:cat>
          <c:val>
            <c:numRef>
              <c:f>Costs!$F$51</c:f>
              <c:numCache>
                <c:formatCode>[$$]#,##0_);[Red]\([$$]#,##0\)</c:formatCode>
                <c:ptCount val="1"/>
                <c:pt idx="0">
                  <c:v>29752.065977212667</c:v>
                </c:pt>
              </c:numCache>
            </c:numRef>
          </c:val>
          <c:extLst>
            <c:ext xmlns:c16="http://schemas.microsoft.com/office/drawing/2014/chart" uri="{C3380CC4-5D6E-409C-BE32-E72D297353CC}">
              <c16:uniqueId val="{00000009-E01C-4633-BC9D-80EDAC51D7AB}"/>
            </c:ext>
          </c:extLst>
        </c:ser>
        <c:dLbls>
          <c:showLegendKey val="0"/>
          <c:showVal val="1"/>
          <c:showCatName val="0"/>
          <c:showSerName val="0"/>
          <c:showPercent val="0"/>
          <c:showBubbleSize val="0"/>
        </c:dLbls>
        <c:gapWidth val="150"/>
        <c:overlap val="100"/>
        <c:axId val="141634560"/>
        <c:axId val="141656832"/>
      </c:barChart>
      <c:catAx>
        <c:axId val="141634560"/>
        <c:scaling>
          <c:orientation val="minMax"/>
        </c:scaling>
        <c:delete val="0"/>
        <c:axPos val="b"/>
        <c:numFmt formatCode="General" sourceLinked="0"/>
        <c:majorTickMark val="out"/>
        <c:minorTickMark val="none"/>
        <c:tickLblPos val="nextTo"/>
        <c:txPr>
          <a:bodyPr rot="0" vert="horz"/>
          <a:lstStyle/>
          <a:p>
            <a:pPr>
              <a:defRPr/>
            </a:pPr>
            <a:endParaRPr lang="en-US"/>
          </a:p>
        </c:txPr>
        <c:crossAx val="141656832"/>
        <c:crosses val="autoZero"/>
        <c:auto val="1"/>
        <c:lblAlgn val="ctr"/>
        <c:lblOffset val="100"/>
        <c:tickLblSkip val="1"/>
        <c:tickMarkSkip val="1"/>
        <c:noMultiLvlLbl val="1"/>
      </c:catAx>
      <c:valAx>
        <c:axId val="141656832"/>
        <c:scaling>
          <c:orientation val="minMax"/>
        </c:scaling>
        <c:delete val="0"/>
        <c:axPos val="l"/>
        <c:majorGridlines/>
        <c:title>
          <c:tx>
            <c:strRef>
              <c:f>Costs!$M$58</c:f>
              <c:strCache>
                <c:ptCount val="1"/>
                <c:pt idx="0">
                  <c:v>Total Costs</c:v>
                </c:pt>
              </c:strCache>
            </c:strRef>
          </c:tx>
          <c:layout>
            <c:manualLayout>
              <c:xMode val="edge"/>
              <c:yMode val="edge"/>
              <c:x val="2.5698333162900096E-2"/>
              <c:y val="0.39553368328959077"/>
            </c:manualLayout>
          </c:layout>
          <c:overlay val="0"/>
          <c:txPr>
            <a:bodyPr/>
            <a:lstStyle/>
            <a:p>
              <a:pPr>
                <a:defRPr/>
              </a:pPr>
              <a:endParaRPr lang="en-US"/>
            </a:p>
          </c:txPr>
        </c:title>
        <c:numFmt formatCode="_([$$]* #,##0_);_([$$]* \(#,##0\);_([$$]* &quot;-&quot;_);_(@_)" sourceLinked="1"/>
        <c:majorTickMark val="out"/>
        <c:minorTickMark val="none"/>
        <c:tickLblPos val="nextTo"/>
        <c:txPr>
          <a:bodyPr rot="0" vert="horz"/>
          <a:lstStyle/>
          <a:p>
            <a:pPr>
              <a:defRPr/>
            </a:pPr>
            <a:endParaRPr lang="en-US"/>
          </a:p>
        </c:txPr>
        <c:crossAx val="141634560"/>
        <c:crossesAt val="1"/>
        <c:crossBetween val="between"/>
      </c:valAx>
    </c:plotArea>
    <c:legend>
      <c:legendPos val="r"/>
      <c:layout>
        <c:manualLayout>
          <c:xMode val="edge"/>
          <c:yMode val="edge"/>
          <c:x val="0.62998175228096565"/>
          <c:y val="0.15559860644018064"/>
          <c:w val="0.3492063492063493"/>
          <c:h val="0.81242523712669323"/>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alignWithMargins="0"/>
    <c:pageMargins b="0.75000000000001243" l="0.70000000000000062" r="0.70000000000000062" t="0.75000000000001243" header="0.30000000000000032" footer="0.30000000000000032"/>
    <c:pageSetup paperSize="0" orientation="portrait" horizontalDpi="0" verticalDpi="0" copies="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hart>
    <c:title>
      <c:tx>
        <c:strRef>
          <c:f>TCO!$O$109</c:f>
          <c:strCache>
            <c:ptCount val="1"/>
            <c:pt idx="0">
              <c:v>IT Staffing Costs</c:v>
            </c:pt>
          </c:strCache>
        </c:strRef>
      </c:tx>
      <c:overlay val="0"/>
    </c:title>
    <c:autoTitleDeleted val="0"/>
    <c:plotArea>
      <c:layout>
        <c:manualLayout>
          <c:layoutTarget val="inner"/>
          <c:xMode val="edge"/>
          <c:yMode val="edge"/>
          <c:x val="0.23110060070912589"/>
          <c:y val="0.15329566854990734"/>
          <c:w val="0.39292088789306451"/>
          <c:h val="0.65692527012803825"/>
        </c:manualLayout>
      </c:layout>
      <c:barChart>
        <c:barDir val="col"/>
        <c:grouping val="stacked"/>
        <c:varyColors val="0"/>
        <c:ser>
          <c:idx val="0"/>
          <c:order val="0"/>
          <c:tx>
            <c:strRef>
              <c:f>TCO!$C$95</c:f>
              <c:strCache>
                <c:ptCount val="1"/>
                <c:pt idx="0">
                  <c:v>Application development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(TCO!$H$94,TCO!$I$94)</c:f>
              <c:strCache>
                <c:ptCount val="2"/>
                <c:pt idx="0">
                  <c:v>As-Is Spending (per User)</c:v>
                </c:pt>
                <c:pt idx="1">
                  <c:v>To-Be Spending (per User)</c:v>
                </c:pt>
              </c:strCache>
            </c:strRef>
          </c:cat>
          <c:val>
            <c:numRef>
              <c:f>(TCO!$H$95,TCO!$I$95)</c:f>
              <c:numCache>
                <c:formatCode>_([$$]* #,##0_);_([$$]* \(#,##0\);_([$$]* "-"_);_(@_)</c:formatCode>
                <c:ptCount val="2"/>
                <c:pt idx="0" formatCode="_([$$]* #,##0_);_([$$]* \(#,##0\);_([$$]* &quot;-&quot;??_);_(@_)">
                  <c:v>846.93964377657539</c:v>
                </c:pt>
                <c:pt idx="1">
                  <c:v>839.31718698258624</c:v>
                </c:pt>
              </c:numCache>
            </c:numRef>
          </c:val>
          <c:extLst>
            <c:ext xmlns:c16="http://schemas.microsoft.com/office/drawing/2014/chart" uri="{C3380CC4-5D6E-409C-BE32-E72D297353CC}">
              <c16:uniqueId val="{00000000-D189-49B1-B678-611D688D30F6}"/>
            </c:ext>
          </c:extLst>
        </c:ser>
        <c:ser>
          <c:idx val="1"/>
          <c:order val="1"/>
          <c:tx>
            <c:strRef>
              <c:f>TCO!$C$96</c:f>
              <c:strCache>
                <c:ptCount val="1"/>
                <c:pt idx="0">
                  <c:v>Application support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(TCO!$H$94,TCO!$I$94)</c:f>
              <c:strCache>
                <c:ptCount val="2"/>
                <c:pt idx="0">
                  <c:v>As-Is Spending (per User)</c:v>
                </c:pt>
                <c:pt idx="1">
                  <c:v>To-Be Spending (per User)</c:v>
                </c:pt>
              </c:strCache>
            </c:strRef>
          </c:cat>
          <c:val>
            <c:numRef>
              <c:f>(TCO!$H$96,TCO!$I$96)</c:f>
              <c:numCache>
                <c:formatCode>_([$$]* #,##0_);_([$$]* \(#,##0\);_([$$]* "-"_);_(@_)</c:formatCode>
                <c:ptCount val="2"/>
                <c:pt idx="0" formatCode="_([$$]* #,##0_);_([$$]* \(#,##0\);_([$$]* &quot;-&quot;??_);_(@_)">
                  <c:v>628.14690246762677</c:v>
                </c:pt>
                <c:pt idx="1">
                  <c:v>625.32024140652243</c:v>
                </c:pt>
              </c:numCache>
            </c:numRef>
          </c:val>
          <c:extLst>
            <c:ext xmlns:c16="http://schemas.microsoft.com/office/drawing/2014/chart" uri="{C3380CC4-5D6E-409C-BE32-E72D297353CC}">
              <c16:uniqueId val="{00000001-D189-49B1-B678-611D688D30F6}"/>
            </c:ext>
          </c:extLst>
        </c:ser>
        <c:ser>
          <c:idx val="2"/>
          <c:order val="2"/>
          <c:tx>
            <c:strRef>
              <c:f>TCO!$C$97</c:f>
              <c:strCache>
                <c:ptCount val="1"/>
                <c:pt idx="0">
                  <c:v>Data center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(TCO!$H$94,TCO!$I$94)</c:f>
              <c:strCache>
                <c:ptCount val="2"/>
                <c:pt idx="0">
                  <c:v>As-Is Spending (per User)</c:v>
                </c:pt>
                <c:pt idx="1">
                  <c:v>To-Be Spending (per User)</c:v>
                </c:pt>
              </c:strCache>
            </c:strRef>
          </c:cat>
          <c:val>
            <c:numRef>
              <c:f>(TCO!$H$97,TCO!$I$97)</c:f>
              <c:numCache>
                <c:formatCode>_([$$]* #,##0_);_([$$]* \(#,##0\);_([$$]* "-"_);_(@_)</c:formatCode>
                <c:ptCount val="2"/>
                <c:pt idx="0" formatCode="_([$$]* #,##0_);_([$$]* \(#,##0\);_([$$]* &quot;-&quot;??_);_(@_)">
                  <c:v>615.35458493141789</c:v>
                </c:pt>
                <c:pt idx="1">
                  <c:v>604.58587969511802</c:v>
                </c:pt>
              </c:numCache>
            </c:numRef>
          </c:val>
          <c:extLst>
            <c:ext xmlns:c16="http://schemas.microsoft.com/office/drawing/2014/chart" uri="{C3380CC4-5D6E-409C-BE32-E72D297353CC}">
              <c16:uniqueId val="{00000002-D189-49B1-B678-611D688D30F6}"/>
            </c:ext>
          </c:extLst>
        </c:ser>
        <c:ser>
          <c:idx val="3"/>
          <c:order val="3"/>
          <c:tx>
            <c:strRef>
              <c:f>TCO!$C$98</c:f>
              <c:strCache>
                <c:ptCount val="1"/>
                <c:pt idx="0">
                  <c:v>Desktop / Client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(TCO!$H$94,TCO!$I$94)</c:f>
              <c:strCache>
                <c:ptCount val="2"/>
                <c:pt idx="0">
                  <c:v>As-Is Spending (per User)</c:v>
                </c:pt>
                <c:pt idx="1">
                  <c:v>To-Be Spending (per User)</c:v>
                </c:pt>
              </c:strCache>
            </c:strRef>
          </c:cat>
          <c:val>
            <c:numRef>
              <c:f>(TCO!$H$98,TCO!$I$98)</c:f>
              <c:numCache>
                <c:formatCode>_([$$]* #,##0_);_([$$]* \(#,##0\);_([$$]* "-"_);_(@_)</c:formatCode>
                <c:ptCount val="2"/>
                <c:pt idx="0" formatCode="_([$$]* #,##0_);_([$$]* \(#,##0\);_([$$]* &quot;-&quot;??_);_(@_)">
                  <c:v>363.91937818524718</c:v>
                </c:pt>
                <c:pt idx="1">
                  <c:v>362.6456603615988</c:v>
                </c:pt>
              </c:numCache>
            </c:numRef>
          </c:val>
          <c:extLst>
            <c:ext xmlns:c16="http://schemas.microsoft.com/office/drawing/2014/chart" uri="{C3380CC4-5D6E-409C-BE32-E72D297353CC}">
              <c16:uniqueId val="{00000003-D189-49B1-B678-611D688D30F6}"/>
            </c:ext>
          </c:extLst>
        </c:ser>
        <c:ser>
          <c:idx val="4"/>
          <c:order val="4"/>
          <c:tx>
            <c:strRef>
              <c:f>TCO!$C$99</c:f>
              <c:strCache>
                <c:ptCount val="1"/>
                <c:pt idx="0">
                  <c:v>Help desk</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(TCO!$H$94,TCO!$I$94)</c:f>
              <c:strCache>
                <c:ptCount val="2"/>
                <c:pt idx="0">
                  <c:v>As-Is Spending (per User)</c:v>
                </c:pt>
                <c:pt idx="1">
                  <c:v>To-Be Spending (per User)</c:v>
                </c:pt>
              </c:strCache>
            </c:strRef>
          </c:cat>
          <c:val>
            <c:numRef>
              <c:f>(TCO!$H$99,TCO!$I$99)</c:f>
              <c:numCache>
                <c:formatCode>_([$$]* #,##0_);_([$$]* \(#,##0\);_([$$]* "-"_);_(@_)</c:formatCode>
                <c:ptCount val="2"/>
                <c:pt idx="0" formatCode="_([$$]* #,##0_);_([$$]* \(#,##0\);_([$$]* &quot;-&quot;??_);_(@_)">
                  <c:v>218.35162691114834</c:v>
                </c:pt>
                <c:pt idx="1">
                  <c:v>217.58739621695932</c:v>
                </c:pt>
              </c:numCache>
            </c:numRef>
          </c:val>
          <c:extLst>
            <c:ext xmlns:c16="http://schemas.microsoft.com/office/drawing/2014/chart" uri="{C3380CC4-5D6E-409C-BE32-E72D297353CC}">
              <c16:uniqueId val="{00000004-D189-49B1-B678-611D688D30F6}"/>
            </c:ext>
          </c:extLst>
        </c:ser>
        <c:ser>
          <c:idx val="5"/>
          <c:order val="5"/>
          <c:tx>
            <c:strRef>
              <c:f>TCO!$C$100</c:f>
              <c:strCache>
                <c:ptCount val="1"/>
                <c:pt idx="0">
                  <c:v>Voice Network</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(TCO!$H$94,TCO!$I$94)</c:f>
              <c:strCache>
                <c:ptCount val="2"/>
                <c:pt idx="0">
                  <c:v>As-Is Spending (per User)</c:v>
                </c:pt>
                <c:pt idx="1">
                  <c:v>To-Be Spending (per User)</c:v>
                </c:pt>
              </c:strCache>
            </c:strRef>
          </c:cat>
          <c:val>
            <c:numRef>
              <c:f>(TCO!$H$100,TCO!$I$100)</c:f>
              <c:numCache>
                <c:formatCode>_([$$]* #,##0_);_([$$]* \(#,##0\);_([$$]* "-"_);_(@_)</c:formatCode>
                <c:ptCount val="2"/>
                <c:pt idx="0" formatCode="_([$$]* #,##0_);_([$$]* \(#,##0\);_([$$]* &quot;-&quot;??_);_(@_)">
                  <c:v>247.02406276816779</c:v>
                </c:pt>
                <c:pt idx="1">
                  <c:v>246.1594785484792</c:v>
                </c:pt>
              </c:numCache>
            </c:numRef>
          </c:val>
          <c:extLst>
            <c:ext xmlns:c16="http://schemas.microsoft.com/office/drawing/2014/chart" uri="{C3380CC4-5D6E-409C-BE32-E72D297353CC}">
              <c16:uniqueId val="{00000005-D189-49B1-B678-611D688D30F6}"/>
            </c:ext>
          </c:extLst>
        </c:ser>
        <c:ser>
          <c:idx val="6"/>
          <c:order val="6"/>
          <c:tx>
            <c:strRef>
              <c:f>TCO!$C$101</c:f>
              <c:strCache>
                <c:ptCount val="1"/>
                <c:pt idx="0">
                  <c:v>Data Network</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(TCO!$H$94,TCO!$I$94)</c:f>
              <c:strCache>
                <c:ptCount val="2"/>
                <c:pt idx="0">
                  <c:v>As-Is Spending (per User)</c:v>
                </c:pt>
                <c:pt idx="1">
                  <c:v>To-Be Spending (per User)</c:v>
                </c:pt>
              </c:strCache>
            </c:strRef>
          </c:cat>
          <c:val>
            <c:numRef>
              <c:f>(TCO!$H$101,TCO!$I$101)</c:f>
              <c:numCache>
                <c:formatCode>_([$$]* #,##0_);_([$$]* \(#,##0\);_([$$]* "-"_);_(@_)</c:formatCode>
                <c:ptCount val="2"/>
                <c:pt idx="0" formatCode="_([$$]* #,##0_);_([$$]* \(#,##0\);_([$$]* &quot;-&quot;??_);_(@_)">
                  <c:v>405.16357437957515</c:v>
                </c:pt>
                <c:pt idx="1">
                  <c:v>403.74550186924665</c:v>
                </c:pt>
              </c:numCache>
            </c:numRef>
          </c:val>
          <c:extLst>
            <c:ext xmlns:c16="http://schemas.microsoft.com/office/drawing/2014/chart" uri="{C3380CC4-5D6E-409C-BE32-E72D297353CC}">
              <c16:uniqueId val="{00000006-D189-49B1-B678-611D688D30F6}"/>
            </c:ext>
          </c:extLst>
        </c:ser>
        <c:ser>
          <c:idx val="7"/>
          <c:order val="7"/>
          <c:tx>
            <c:strRef>
              <c:f>TCO!$C$102</c:f>
              <c:strCache>
                <c:ptCount val="1"/>
                <c:pt idx="0">
                  <c:v>Management &amp; Administration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(TCO!$H$94,TCO!$I$94)</c:f>
              <c:strCache>
                <c:ptCount val="2"/>
                <c:pt idx="0">
                  <c:v>As-Is Spending (per User)</c:v>
                </c:pt>
                <c:pt idx="1">
                  <c:v>To-Be Spending (per User)</c:v>
                </c:pt>
              </c:strCache>
            </c:strRef>
          </c:cat>
          <c:val>
            <c:numRef>
              <c:f>(TCO!$H$102,TCO!$I$102)</c:f>
              <c:numCache>
                <c:formatCode>_([$$]* #,##0_);_([$$]* \(#,##0\);_([$$]* "-"_);_(@_)</c:formatCode>
                <c:ptCount val="2"/>
                <c:pt idx="0" formatCode="_([$$]* #,##0_);_([$$]* \(#,##0\);_([$$]* &quot;-&quot;??_);_(@_)">
                  <c:v>605.29717666157126</c:v>
                </c:pt>
                <c:pt idx="1">
                  <c:v>603.78393371991729</c:v>
                </c:pt>
              </c:numCache>
            </c:numRef>
          </c:val>
          <c:extLst>
            <c:ext xmlns:c16="http://schemas.microsoft.com/office/drawing/2014/chart" uri="{C3380CC4-5D6E-409C-BE32-E72D297353CC}">
              <c16:uniqueId val="{00000007-D189-49B1-B678-611D688D30F6}"/>
            </c:ext>
          </c:extLst>
        </c:ser>
        <c:dLbls>
          <c:showLegendKey val="0"/>
          <c:showVal val="1"/>
          <c:showCatName val="0"/>
          <c:showSerName val="0"/>
          <c:showPercent val="0"/>
          <c:showBubbleSize val="0"/>
        </c:dLbls>
        <c:gapWidth val="39"/>
        <c:overlap val="100"/>
        <c:axId val="127236736"/>
        <c:axId val="127246720"/>
      </c:barChart>
      <c:catAx>
        <c:axId val="127236736"/>
        <c:scaling>
          <c:orientation val="minMax"/>
        </c:scaling>
        <c:delete val="0"/>
        <c:axPos val="b"/>
        <c:numFmt formatCode="General" sourceLinked="1"/>
        <c:majorTickMark val="out"/>
        <c:minorTickMark val="none"/>
        <c:tickLblPos val="nextTo"/>
        <c:crossAx val="127246720"/>
        <c:crosses val="autoZero"/>
        <c:auto val="1"/>
        <c:lblAlgn val="ctr"/>
        <c:lblOffset val="100"/>
        <c:noMultiLvlLbl val="0"/>
      </c:catAx>
      <c:valAx>
        <c:axId val="127246720"/>
        <c:scaling>
          <c:orientation val="minMax"/>
        </c:scaling>
        <c:delete val="0"/>
        <c:axPos val="l"/>
        <c:majorGridlines/>
        <c:title>
          <c:tx>
            <c:strRef>
              <c:f>TCO!$O$110</c:f>
              <c:strCache>
                <c:ptCount val="1"/>
                <c:pt idx="0">
                  <c:v>IT Staffing Costs per User per Year</c:v>
                </c:pt>
              </c:strCache>
            </c:strRef>
          </c:tx>
          <c:layout>
            <c:manualLayout>
              <c:xMode val="edge"/>
              <c:yMode val="edge"/>
              <c:x val="2.0235918786013867E-2"/>
              <c:y val="0.1774097019598439"/>
            </c:manualLayout>
          </c:layout>
          <c:overlay val="0"/>
          <c:txPr>
            <a:bodyPr rot="-5400000" vert="horz"/>
            <a:lstStyle/>
            <a:p>
              <a:pPr>
                <a:defRPr/>
              </a:pPr>
              <a:endParaRPr lang="en-US"/>
            </a:p>
          </c:txPr>
        </c:title>
        <c:numFmt formatCode="_([$$]* #,##0_);_([$$]* \(#,##0\);_([$$]* &quot;-&quot;??_);_(@_)" sourceLinked="1"/>
        <c:majorTickMark val="out"/>
        <c:minorTickMark val="none"/>
        <c:tickLblPos val="nextTo"/>
        <c:crossAx val="127236736"/>
        <c:crosses val="autoZero"/>
        <c:crossBetween val="between"/>
      </c:valAx>
    </c:plotArea>
    <c:legend>
      <c:legendPos val="r"/>
      <c:layout>
        <c:manualLayout>
          <c:xMode val="edge"/>
          <c:yMode val="edge"/>
          <c:x val="0.66396189520134685"/>
          <c:y val="0.1311445967731191"/>
          <c:w val="0.30148748862751312"/>
          <c:h val="0.79121094634744249"/>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sz="1050">
          <a:solidFill>
            <a:schemeClr val="dk1"/>
          </a:solidFill>
          <a:latin typeface="Arial" pitchFamily="34" charset="0"/>
          <a:ea typeface="+mn-ea"/>
          <a:cs typeface="Arial" pitchFamily="34" charset="0"/>
        </a:defRPr>
      </a:pPr>
      <a:endParaRPr lang="en-US"/>
    </a:p>
  </c:txPr>
  <c:printSettings>
    <c:headerFooter/>
    <c:pageMargins b="0.75000000000001066" l="0.70000000000000062" r="0.70000000000000062" t="0.7500000000000106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hart>
    <c:title>
      <c:tx>
        <c:strRef>
          <c:f>TCO!$P$109</c:f>
          <c:strCache>
            <c:ptCount val="1"/>
            <c:pt idx="0">
              <c:v>IT Staffing FTEs and Costs</c:v>
            </c:pt>
          </c:strCache>
        </c:strRef>
      </c:tx>
      <c:layout>
        <c:manualLayout>
          <c:xMode val="edge"/>
          <c:yMode val="edge"/>
          <c:x val="0.31037166246570774"/>
          <c:y val="3.0229292404439615E-2"/>
        </c:manualLayout>
      </c:layout>
      <c:overlay val="0"/>
      <c:txPr>
        <a:bodyPr/>
        <a:lstStyle/>
        <a:p>
          <a:pPr>
            <a:defRPr sz="1600"/>
          </a:pPr>
          <a:endParaRPr lang="en-US"/>
        </a:p>
      </c:txPr>
    </c:title>
    <c:autoTitleDeleted val="0"/>
    <c:plotArea>
      <c:layout>
        <c:manualLayout>
          <c:layoutTarget val="inner"/>
          <c:xMode val="edge"/>
          <c:yMode val="edge"/>
          <c:x val="0.14666683518492804"/>
          <c:y val="0.25551620768216182"/>
          <c:w val="0.74496290513260399"/>
          <c:h val="0.44269608430925877"/>
        </c:manualLayout>
      </c:layout>
      <c:barChart>
        <c:barDir val="col"/>
        <c:grouping val="clustered"/>
        <c:varyColors val="0"/>
        <c:ser>
          <c:idx val="0"/>
          <c:order val="0"/>
          <c:tx>
            <c:strRef>
              <c:f>TCO!$H$94</c:f>
              <c:strCache>
                <c:ptCount val="1"/>
                <c:pt idx="0">
                  <c:v>As-Is Spending (per User)</c:v>
                </c:pt>
              </c:strCache>
            </c:strRef>
          </c:tx>
          <c:spPr>
            <a:solidFill>
              <a:schemeClr val="accent1">
                <a:lumMod val="60000"/>
                <a:lumOff val="40000"/>
              </a:schemeClr>
            </a:solidFill>
          </c:spPr>
          <c:invertIfNegative val="0"/>
          <c:dLbls>
            <c:spPr>
              <a:noFill/>
              <a:ln>
                <a:noFill/>
              </a:ln>
              <a:effectLst/>
            </c:spPr>
            <c:txPr>
              <a:bodyPr rot="-5400000" vert="horz"/>
              <a:lstStyle/>
              <a:p>
                <a:pPr>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TCO!$C$95:$C$102</c:f>
              <c:strCache>
                <c:ptCount val="8"/>
                <c:pt idx="0">
                  <c:v>Application development</c:v>
                </c:pt>
                <c:pt idx="1">
                  <c:v>Application support</c:v>
                </c:pt>
                <c:pt idx="2">
                  <c:v>Data center</c:v>
                </c:pt>
                <c:pt idx="3">
                  <c:v>Desktop / Client</c:v>
                </c:pt>
                <c:pt idx="4">
                  <c:v>Help desk</c:v>
                </c:pt>
                <c:pt idx="5">
                  <c:v>Voice Network</c:v>
                </c:pt>
                <c:pt idx="6">
                  <c:v>Data Network</c:v>
                </c:pt>
                <c:pt idx="7">
                  <c:v>Management &amp; Administration</c:v>
                </c:pt>
              </c:strCache>
            </c:strRef>
          </c:cat>
          <c:val>
            <c:numRef>
              <c:f>TCO!$H$95:$H$102</c:f>
              <c:numCache>
                <c:formatCode>_([$$]* #,##0_);_([$$]* \(#,##0\);_([$$]* "-"??_);_(@_)</c:formatCode>
                <c:ptCount val="8"/>
                <c:pt idx="0">
                  <c:v>846.93964377657539</c:v>
                </c:pt>
                <c:pt idx="1">
                  <c:v>628.14690246762677</c:v>
                </c:pt>
                <c:pt idx="2">
                  <c:v>615.35458493141789</c:v>
                </c:pt>
                <c:pt idx="3">
                  <c:v>363.91937818524718</c:v>
                </c:pt>
                <c:pt idx="4">
                  <c:v>218.35162691114834</c:v>
                </c:pt>
                <c:pt idx="5">
                  <c:v>247.02406276816779</c:v>
                </c:pt>
                <c:pt idx="6">
                  <c:v>405.16357437957515</c:v>
                </c:pt>
                <c:pt idx="7">
                  <c:v>605.29717666157126</c:v>
                </c:pt>
              </c:numCache>
            </c:numRef>
          </c:val>
          <c:extLst>
            <c:ext xmlns:c16="http://schemas.microsoft.com/office/drawing/2014/chart" uri="{C3380CC4-5D6E-409C-BE32-E72D297353CC}">
              <c16:uniqueId val="{00000000-09FD-444F-A9E5-58BA27D4F768}"/>
            </c:ext>
          </c:extLst>
        </c:ser>
        <c:ser>
          <c:idx val="1"/>
          <c:order val="1"/>
          <c:tx>
            <c:strRef>
              <c:f>TCO!$I$94</c:f>
              <c:strCache>
                <c:ptCount val="1"/>
                <c:pt idx="0">
                  <c:v>To-Be Spending (per User)</c:v>
                </c:pt>
              </c:strCache>
            </c:strRef>
          </c:tx>
          <c:spPr>
            <a:solidFill>
              <a:schemeClr val="tx2">
                <a:lumMod val="60000"/>
                <a:lumOff val="40000"/>
              </a:schemeClr>
            </a:solidFill>
          </c:spPr>
          <c:invertIfNegative val="0"/>
          <c:dLbls>
            <c:spPr>
              <a:noFill/>
              <a:ln>
                <a:noFill/>
              </a:ln>
              <a:effectLst/>
            </c:spPr>
            <c:txPr>
              <a:bodyPr rot="-5400000" vert="horz"/>
              <a:lstStyle/>
              <a:p>
                <a:pPr>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TCO!$C$95:$C$102</c:f>
              <c:strCache>
                <c:ptCount val="8"/>
                <c:pt idx="0">
                  <c:v>Application development</c:v>
                </c:pt>
                <c:pt idx="1">
                  <c:v>Application support</c:v>
                </c:pt>
                <c:pt idx="2">
                  <c:v>Data center</c:v>
                </c:pt>
                <c:pt idx="3">
                  <c:v>Desktop / Client</c:v>
                </c:pt>
                <c:pt idx="4">
                  <c:v>Help desk</c:v>
                </c:pt>
                <c:pt idx="5">
                  <c:v>Voice Network</c:v>
                </c:pt>
                <c:pt idx="6">
                  <c:v>Data Network</c:v>
                </c:pt>
                <c:pt idx="7">
                  <c:v>Management &amp; Administration</c:v>
                </c:pt>
              </c:strCache>
            </c:strRef>
          </c:cat>
          <c:val>
            <c:numRef>
              <c:f>TCO!$I$95:$I$102</c:f>
              <c:numCache>
                <c:formatCode>_([$$]* #,##0_);_([$$]* \(#,##0\);_([$$]* "-"_);_(@_)</c:formatCode>
                <c:ptCount val="8"/>
                <c:pt idx="0">
                  <c:v>839.31718698258624</c:v>
                </c:pt>
                <c:pt idx="1">
                  <c:v>625.32024140652243</c:v>
                </c:pt>
                <c:pt idx="2">
                  <c:v>604.58587969511802</c:v>
                </c:pt>
                <c:pt idx="3">
                  <c:v>362.6456603615988</c:v>
                </c:pt>
                <c:pt idx="4">
                  <c:v>217.58739621695932</c:v>
                </c:pt>
                <c:pt idx="5">
                  <c:v>246.1594785484792</c:v>
                </c:pt>
                <c:pt idx="6">
                  <c:v>403.74550186924665</c:v>
                </c:pt>
                <c:pt idx="7">
                  <c:v>603.78393371991729</c:v>
                </c:pt>
              </c:numCache>
            </c:numRef>
          </c:val>
          <c:extLst>
            <c:ext xmlns:c16="http://schemas.microsoft.com/office/drawing/2014/chart" uri="{C3380CC4-5D6E-409C-BE32-E72D297353CC}">
              <c16:uniqueId val="{00000001-09FD-444F-A9E5-58BA27D4F768}"/>
            </c:ext>
          </c:extLst>
        </c:ser>
        <c:dLbls>
          <c:showLegendKey val="0"/>
          <c:showVal val="1"/>
          <c:showCatName val="0"/>
          <c:showSerName val="0"/>
          <c:showPercent val="0"/>
          <c:showBubbleSize val="0"/>
        </c:dLbls>
        <c:gapWidth val="68"/>
        <c:axId val="140081024"/>
        <c:axId val="140082560"/>
      </c:barChart>
      <c:lineChart>
        <c:grouping val="standard"/>
        <c:varyColors val="0"/>
        <c:ser>
          <c:idx val="2"/>
          <c:order val="2"/>
          <c:tx>
            <c:strRef>
              <c:f>TCO!$F$82</c:f>
              <c:strCache>
                <c:ptCount val="1"/>
                <c:pt idx="0">
                  <c:v>As-Is Staff Count</c:v>
                </c:pt>
              </c:strCache>
            </c:strRef>
          </c:tx>
          <c:spPr>
            <a:ln>
              <a:noFill/>
            </a:ln>
          </c:spPr>
          <c:marker>
            <c:symbol val="circle"/>
            <c:size val="13"/>
            <c:spPr>
              <a:solidFill>
                <a:srgbClr val="FF0000"/>
              </a:solidFill>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#REF!</c:f>
            </c:multiLvlStrRef>
          </c:cat>
          <c:val>
            <c:numRef>
              <c:f>TCO!$F$83:$F$90</c:f>
              <c:numCache>
                <c:formatCode>_(* #,##0.0_);_(* \(#,##0.0\);_(* "-"_);_(@_)</c:formatCode>
                <c:ptCount val="8"/>
                <c:pt idx="0">
                  <c:v>18.879156958460893</c:v>
                </c:pt>
                <c:pt idx="1">
                  <c:v>15.103325566768714</c:v>
                </c:pt>
                <c:pt idx="2">
                  <c:v>14.159367718845667</c:v>
                </c:pt>
                <c:pt idx="3">
                  <c:v>9.4395784792304465</c:v>
                </c:pt>
                <c:pt idx="4">
                  <c:v>8.4956206313073999</c:v>
                </c:pt>
                <c:pt idx="5">
                  <c:v>6.607704935461312</c:v>
                </c:pt>
                <c:pt idx="6">
                  <c:v>10.38353632715349</c:v>
                </c:pt>
                <c:pt idx="7">
                  <c:v>11.327494175076534</c:v>
                </c:pt>
              </c:numCache>
            </c:numRef>
          </c:val>
          <c:smooth val="0"/>
          <c:extLst>
            <c:ext xmlns:c16="http://schemas.microsoft.com/office/drawing/2014/chart" uri="{C3380CC4-5D6E-409C-BE32-E72D297353CC}">
              <c16:uniqueId val="{00000002-09FD-444F-A9E5-58BA27D4F768}"/>
            </c:ext>
          </c:extLst>
        </c:ser>
        <c:ser>
          <c:idx val="3"/>
          <c:order val="3"/>
          <c:tx>
            <c:strRef>
              <c:f>TCO!$I$82</c:f>
              <c:strCache>
                <c:ptCount val="1"/>
                <c:pt idx="0">
                  <c:v>To-Be Staff Count</c:v>
                </c:pt>
              </c:strCache>
            </c:strRef>
          </c:tx>
          <c:spPr>
            <a:ln>
              <a:noFill/>
            </a:ln>
          </c:spPr>
          <c:marker>
            <c:symbol val="diamond"/>
            <c:size val="9"/>
            <c:spPr>
              <a:solidFill>
                <a:srgbClr val="92D050"/>
              </a:solidFill>
            </c:spPr>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#REF!</c:f>
            </c:multiLvlStrRef>
          </c:cat>
          <c:val>
            <c:numRef>
              <c:f>TCO!$I$83:$I$90</c:f>
              <c:numCache>
                <c:formatCode>_(* #,##0.0_);_(* \(#,##0.0\);_(* "-"_);_(@_)</c:formatCode>
                <c:ptCount val="8"/>
                <c:pt idx="0">
                  <c:v>18.709244545834746</c:v>
                </c:pt>
                <c:pt idx="1">
                  <c:v>15.035360601718255</c:v>
                </c:pt>
                <c:pt idx="2">
                  <c:v>13.911578783765869</c:v>
                </c:pt>
                <c:pt idx="3">
                  <c:v>9.4065399545531392</c:v>
                </c:pt>
                <c:pt idx="4">
                  <c:v>8.4658859590978235</c:v>
                </c:pt>
                <c:pt idx="5">
                  <c:v>6.5845779681871974</c:v>
                </c:pt>
                <c:pt idx="6">
                  <c:v>10.347193950008453</c:v>
                </c:pt>
                <c:pt idx="7">
                  <c:v>11.299175439638843</c:v>
                </c:pt>
              </c:numCache>
            </c:numRef>
          </c:val>
          <c:smooth val="0"/>
          <c:extLst>
            <c:ext xmlns:c16="http://schemas.microsoft.com/office/drawing/2014/chart" uri="{C3380CC4-5D6E-409C-BE32-E72D297353CC}">
              <c16:uniqueId val="{00000003-09FD-444F-A9E5-58BA27D4F768}"/>
            </c:ext>
          </c:extLst>
        </c:ser>
        <c:dLbls>
          <c:showLegendKey val="0"/>
          <c:showVal val="0"/>
          <c:showCatName val="0"/>
          <c:showSerName val="0"/>
          <c:showPercent val="0"/>
          <c:showBubbleSize val="0"/>
        </c:dLbls>
        <c:marker val="1"/>
        <c:smooth val="0"/>
        <c:axId val="140094848"/>
        <c:axId val="140092928"/>
      </c:lineChart>
      <c:catAx>
        <c:axId val="140081024"/>
        <c:scaling>
          <c:orientation val="minMax"/>
        </c:scaling>
        <c:delete val="0"/>
        <c:axPos val="b"/>
        <c:numFmt formatCode="General" sourceLinked="1"/>
        <c:majorTickMark val="out"/>
        <c:minorTickMark val="none"/>
        <c:tickLblPos val="nextTo"/>
        <c:crossAx val="140082560"/>
        <c:crosses val="autoZero"/>
        <c:auto val="1"/>
        <c:lblAlgn val="ctr"/>
        <c:lblOffset val="100"/>
        <c:noMultiLvlLbl val="0"/>
      </c:catAx>
      <c:valAx>
        <c:axId val="140082560"/>
        <c:scaling>
          <c:orientation val="minMax"/>
        </c:scaling>
        <c:delete val="0"/>
        <c:axPos val="l"/>
        <c:majorGridlines/>
        <c:title>
          <c:tx>
            <c:strRef>
              <c:f>TCO!$P$110</c:f>
              <c:strCache>
                <c:ptCount val="1"/>
                <c:pt idx="0">
                  <c:v>IT Spending per User</c:v>
                </c:pt>
              </c:strCache>
            </c:strRef>
          </c:tx>
          <c:layout>
            <c:manualLayout>
              <c:xMode val="edge"/>
              <c:yMode val="edge"/>
              <c:x val="1.724101944574432E-2"/>
              <c:y val="0.33056983359313591"/>
            </c:manualLayout>
          </c:layout>
          <c:overlay val="0"/>
          <c:txPr>
            <a:bodyPr rot="-5400000" vert="horz"/>
            <a:lstStyle/>
            <a:p>
              <a:pPr>
                <a:defRPr/>
              </a:pPr>
              <a:endParaRPr lang="en-US"/>
            </a:p>
          </c:txPr>
        </c:title>
        <c:numFmt formatCode="_([$$]* #,##0_);_([$$]* \(#,##0\);_([$$]* &quot;-&quot;??_);_(@_)" sourceLinked="1"/>
        <c:majorTickMark val="out"/>
        <c:minorTickMark val="none"/>
        <c:tickLblPos val="nextTo"/>
        <c:crossAx val="140081024"/>
        <c:crosses val="autoZero"/>
        <c:crossBetween val="between"/>
      </c:valAx>
      <c:valAx>
        <c:axId val="140092928"/>
        <c:scaling>
          <c:orientation val="minMax"/>
        </c:scaling>
        <c:delete val="0"/>
        <c:axPos val="r"/>
        <c:title>
          <c:tx>
            <c:strRef>
              <c:f>TCO!$P$111</c:f>
              <c:strCache>
                <c:ptCount val="1"/>
                <c:pt idx="0">
                  <c:v>FTEs (Full Time Equivalents)</c:v>
                </c:pt>
              </c:strCache>
            </c:strRef>
          </c:tx>
          <c:layout>
            <c:manualLayout>
              <c:xMode val="edge"/>
              <c:yMode val="edge"/>
              <c:x val="0.95864309338574261"/>
              <c:y val="0.2816696643883983"/>
            </c:manualLayout>
          </c:layout>
          <c:overlay val="0"/>
          <c:txPr>
            <a:bodyPr rot="-5400000" vert="horz"/>
            <a:lstStyle/>
            <a:p>
              <a:pPr>
                <a:defRPr/>
              </a:pPr>
              <a:endParaRPr lang="en-US"/>
            </a:p>
          </c:txPr>
        </c:title>
        <c:numFmt formatCode="#,##0" sourceLinked="0"/>
        <c:majorTickMark val="out"/>
        <c:minorTickMark val="none"/>
        <c:tickLblPos val="nextTo"/>
        <c:crossAx val="140094848"/>
        <c:crosses val="max"/>
        <c:crossBetween val="between"/>
      </c:valAx>
      <c:catAx>
        <c:axId val="140094848"/>
        <c:scaling>
          <c:orientation val="minMax"/>
        </c:scaling>
        <c:delete val="1"/>
        <c:axPos val="b"/>
        <c:numFmt formatCode="General" sourceLinked="1"/>
        <c:majorTickMark val="out"/>
        <c:minorTickMark val="none"/>
        <c:tickLblPos val="none"/>
        <c:crossAx val="140092928"/>
        <c:crosses val="autoZero"/>
        <c:auto val="1"/>
        <c:lblAlgn val="ctr"/>
        <c:lblOffset val="100"/>
        <c:noMultiLvlLbl val="0"/>
      </c:catAx>
    </c:plotArea>
    <c:legend>
      <c:legendPos val="r"/>
      <c:layout>
        <c:manualLayout>
          <c:xMode val="edge"/>
          <c:yMode val="edge"/>
          <c:x val="8.59975649111277E-2"/>
          <c:y val="0.10745593349054718"/>
          <c:w val="0.85735870268341885"/>
          <c:h val="9.2212318637835133E-2"/>
        </c:manualLayout>
      </c:layout>
      <c:overlay val="0"/>
      <c:txPr>
        <a:bodyPr/>
        <a:lstStyle/>
        <a:p>
          <a:pPr>
            <a:defRPr sz="900" b="1"/>
          </a:pPr>
          <a:endParaRPr lang="en-US"/>
        </a:p>
      </c:txPr>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sz="800">
          <a:solidFill>
            <a:schemeClr val="dk1"/>
          </a:solidFill>
          <a:latin typeface="Arial" pitchFamily="34" charset="0"/>
          <a:ea typeface="+mn-ea"/>
          <a:cs typeface="Arial" pitchFamily="34" charset="0"/>
        </a:defRPr>
      </a:pPr>
      <a:endParaRPr lang="en-US"/>
    </a:p>
  </c:txPr>
  <c:printSettings>
    <c:headerFooter/>
    <c:pageMargins b="0.75000000000001088" l="0.70000000000000062" r="0.70000000000000062" t="0.75000000000001088"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TCO!$O$30</c:f>
          <c:strCache>
            <c:ptCount val="1"/>
            <c:pt idx="0">
              <c:v>IT Spending (TCO) Summary</c:v>
            </c:pt>
          </c:strCache>
        </c:strRef>
      </c:tx>
      <c:overlay val="0"/>
      <c:txPr>
        <a:bodyPr/>
        <a:lstStyle/>
        <a:p>
          <a:pPr>
            <a:defRPr/>
          </a:pPr>
          <a:endParaRPr lang="en-US"/>
        </a:p>
      </c:txPr>
    </c:title>
    <c:autoTitleDeleted val="0"/>
    <c:plotArea>
      <c:layout>
        <c:manualLayout>
          <c:layoutTarget val="inner"/>
          <c:xMode val="edge"/>
          <c:yMode val="edge"/>
          <c:x val="0.26177648846525758"/>
          <c:y val="0.17745224445131713"/>
          <c:w val="0.40179119531455942"/>
          <c:h val="0.69323246980834219"/>
        </c:manualLayout>
      </c:layout>
      <c:barChart>
        <c:barDir val="col"/>
        <c:grouping val="stacked"/>
        <c:varyColors val="0"/>
        <c:ser>
          <c:idx val="0"/>
          <c:order val="0"/>
          <c:tx>
            <c:strRef>
              <c:f>TCO!$C$22</c:f>
              <c:strCache>
                <c:ptCount val="1"/>
                <c:pt idx="0">
                  <c:v>Hardware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(TCO!$G$21,TCO!$I$21)</c:f>
              <c:strCache>
                <c:ptCount val="2"/>
                <c:pt idx="0">
                  <c:v>As-Is</c:v>
                </c:pt>
                <c:pt idx="1">
                  <c:v>To-Be</c:v>
                </c:pt>
              </c:strCache>
            </c:strRef>
          </c:cat>
          <c:val>
            <c:numRef>
              <c:f>(TCO!$G$22,TCO!$I$22)</c:f>
              <c:numCache>
                <c:formatCode>_([$$]* #,##0_);_([$$]* \(#,##0\);_([$$]* "-"_);_(@_)</c:formatCode>
                <c:ptCount val="2"/>
                <c:pt idx="0" formatCode="_([$$]* #,##0_);_([$$]* \(#,##0\);_([$$]* &quot;-&quot;??_);_(@_)">
                  <c:v>2102.5996411504093</c:v>
                </c:pt>
                <c:pt idx="1">
                  <c:v>2084.7275442006307</c:v>
                </c:pt>
              </c:numCache>
            </c:numRef>
          </c:val>
          <c:extLst>
            <c:ext xmlns:c16="http://schemas.microsoft.com/office/drawing/2014/chart" uri="{C3380CC4-5D6E-409C-BE32-E72D297353CC}">
              <c16:uniqueId val="{00000000-A3DF-4546-B145-C8A2B8913660}"/>
            </c:ext>
          </c:extLst>
        </c:ser>
        <c:ser>
          <c:idx val="1"/>
          <c:order val="1"/>
          <c:tx>
            <c:strRef>
              <c:f>TCO!$C$23</c:f>
              <c:strCache>
                <c:ptCount val="1"/>
                <c:pt idx="0">
                  <c:v>Software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(TCO!$G$21,TCO!$I$21)</c:f>
              <c:strCache>
                <c:ptCount val="2"/>
                <c:pt idx="0">
                  <c:v>As-Is</c:v>
                </c:pt>
                <c:pt idx="1">
                  <c:v>To-Be</c:v>
                </c:pt>
              </c:strCache>
            </c:strRef>
          </c:cat>
          <c:val>
            <c:numRef>
              <c:f>(TCO!$G$23,TCO!$I$23)</c:f>
              <c:numCache>
                <c:formatCode>_([$$]* #,##0_);_([$$]* \(#,##0\);_([$$]* "-"_);_(@_)</c:formatCode>
                <c:ptCount val="2"/>
                <c:pt idx="0" formatCode="_([$$]* #,##0_);_([$$]* \(#,##0\);_([$$]* &quot;-&quot;??_);_(@_)">
                  <c:v>2587.8149429543496</c:v>
                </c:pt>
                <c:pt idx="1">
                  <c:v>2570.7224252561359</c:v>
                </c:pt>
              </c:numCache>
            </c:numRef>
          </c:val>
          <c:extLst>
            <c:ext xmlns:c16="http://schemas.microsoft.com/office/drawing/2014/chart" uri="{C3380CC4-5D6E-409C-BE32-E72D297353CC}">
              <c16:uniqueId val="{00000001-A3DF-4546-B145-C8A2B8913660}"/>
            </c:ext>
          </c:extLst>
        </c:ser>
        <c:ser>
          <c:idx val="2"/>
          <c:order val="2"/>
          <c:tx>
            <c:strRef>
              <c:f>TCO!$C$25</c:f>
              <c:strCache>
                <c:ptCount val="1"/>
                <c:pt idx="0">
                  <c:v>External IT Services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(TCO!$G$21,TCO!$I$21)</c:f>
              <c:strCache>
                <c:ptCount val="2"/>
                <c:pt idx="0">
                  <c:v>As-Is</c:v>
                </c:pt>
                <c:pt idx="1">
                  <c:v>To-Be</c:v>
                </c:pt>
              </c:strCache>
            </c:strRef>
          </c:cat>
          <c:val>
            <c:numRef>
              <c:f>(TCO!$G$25,TCO!$I$25)</c:f>
              <c:numCache>
                <c:formatCode>_([$$]* #,##0_);_([$$]* \(#,##0\);_([$$]* "-"_);_(@_)</c:formatCode>
                <c:ptCount val="2"/>
                <c:pt idx="0" formatCode="_([$$]* #,##0_);_([$$]* \(#,##0\);_([$$]* &quot;-&quot;??_);_(@_)">
                  <c:v>3396.5071126275843</c:v>
                </c:pt>
                <c:pt idx="1">
                  <c:v>3369.386003333253</c:v>
                </c:pt>
              </c:numCache>
            </c:numRef>
          </c:val>
          <c:extLst>
            <c:ext xmlns:c16="http://schemas.microsoft.com/office/drawing/2014/chart" uri="{C3380CC4-5D6E-409C-BE32-E72D297353CC}">
              <c16:uniqueId val="{00000002-A3DF-4546-B145-C8A2B8913660}"/>
            </c:ext>
          </c:extLst>
        </c:ser>
        <c:ser>
          <c:idx val="3"/>
          <c:order val="3"/>
          <c:tx>
            <c:strRef>
              <c:f>TCO!$C$24</c:f>
              <c:strCache>
                <c:ptCount val="1"/>
                <c:pt idx="0">
                  <c:v>Internal IT Staff</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(TCO!$G$21,TCO!$I$21)</c:f>
              <c:strCache>
                <c:ptCount val="2"/>
                <c:pt idx="0">
                  <c:v>As-Is</c:v>
                </c:pt>
                <c:pt idx="1">
                  <c:v>To-Be</c:v>
                </c:pt>
              </c:strCache>
            </c:strRef>
          </c:cat>
          <c:val>
            <c:numRef>
              <c:f>(TCO!$G$24,TCO!$I$24)</c:f>
              <c:numCache>
                <c:formatCode>_([$$]* #,##0_);_([$$]* \(#,##0\);_([$$]* "-"_);_(@_)</c:formatCode>
                <c:ptCount val="2"/>
                <c:pt idx="0" formatCode="_([$$]* #,##0_);_([$$]* \(#,##0\);_([$$]* &quot;-&quot;??_);_(@_)">
                  <c:v>3930.1969500813302</c:v>
                </c:pt>
                <c:pt idx="1">
                  <c:v>3903.1452788004285</c:v>
                </c:pt>
              </c:numCache>
            </c:numRef>
          </c:val>
          <c:extLst>
            <c:ext xmlns:c16="http://schemas.microsoft.com/office/drawing/2014/chart" uri="{C3380CC4-5D6E-409C-BE32-E72D297353CC}">
              <c16:uniqueId val="{00000003-A3DF-4546-B145-C8A2B8913660}"/>
            </c:ext>
          </c:extLst>
        </c:ser>
        <c:ser>
          <c:idx val="4"/>
          <c:order val="4"/>
          <c:tx>
            <c:strRef>
              <c:f>TCO!$C$26</c:f>
              <c:strCache>
                <c:ptCount val="1"/>
                <c:pt idx="0">
                  <c:v>Telecom / Networking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(TCO!$G$21,TCO!$I$21)</c:f>
              <c:strCache>
                <c:ptCount val="2"/>
                <c:pt idx="0">
                  <c:v>As-Is</c:v>
                </c:pt>
                <c:pt idx="1">
                  <c:v>To-Be</c:v>
                </c:pt>
              </c:strCache>
            </c:strRef>
          </c:cat>
          <c:val>
            <c:numRef>
              <c:f>(TCO!$G$26,TCO!$I$26)</c:f>
              <c:numCache>
                <c:formatCode>_([$$]* #,##0_);_([$$]* \(#,##0\);_([$$]* "-"_);_(@_)</c:formatCode>
                <c:ptCount val="2"/>
                <c:pt idx="0" formatCode="_([$$]* #,##0_);_([$$]* \(#,##0\);_([$$]* &quot;-&quot;??_);_(@_)">
                  <c:v>3073.0302447582912</c:v>
                </c:pt>
                <c:pt idx="1">
                  <c:v>3065.4705903561858</c:v>
                </c:pt>
              </c:numCache>
            </c:numRef>
          </c:val>
          <c:extLst>
            <c:ext xmlns:c16="http://schemas.microsoft.com/office/drawing/2014/chart" uri="{C3380CC4-5D6E-409C-BE32-E72D297353CC}">
              <c16:uniqueId val="{00000004-A3DF-4546-B145-C8A2B8913660}"/>
            </c:ext>
          </c:extLst>
        </c:ser>
        <c:dLbls>
          <c:showLegendKey val="0"/>
          <c:showVal val="1"/>
          <c:showCatName val="0"/>
          <c:showSerName val="0"/>
          <c:showPercent val="0"/>
          <c:showBubbleSize val="0"/>
        </c:dLbls>
        <c:gapWidth val="22"/>
        <c:overlap val="100"/>
        <c:axId val="141738752"/>
        <c:axId val="141740288"/>
      </c:barChart>
      <c:catAx>
        <c:axId val="141738752"/>
        <c:scaling>
          <c:orientation val="minMax"/>
        </c:scaling>
        <c:delete val="0"/>
        <c:axPos val="b"/>
        <c:numFmt formatCode="General" sourceLinked="1"/>
        <c:majorTickMark val="out"/>
        <c:minorTickMark val="none"/>
        <c:tickLblPos val="nextTo"/>
        <c:crossAx val="141740288"/>
        <c:crosses val="autoZero"/>
        <c:auto val="1"/>
        <c:lblAlgn val="ctr"/>
        <c:lblOffset val="100"/>
        <c:noMultiLvlLbl val="0"/>
      </c:catAx>
      <c:valAx>
        <c:axId val="141740288"/>
        <c:scaling>
          <c:orientation val="minMax"/>
        </c:scaling>
        <c:delete val="0"/>
        <c:axPos val="l"/>
        <c:majorGridlines/>
        <c:title>
          <c:tx>
            <c:strRef>
              <c:f>TCO!$O$31</c:f>
              <c:strCache>
                <c:ptCount val="1"/>
                <c:pt idx="0">
                  <c:v>Annual IT Spending (per PC User)</c:v>
                </c:pt>
              </c:strCache>
            </c:strRef>
          </c:tx>
          <c:layout>
            <c:manualLayout>
              <c:xMode val="edge"/>
              <c:yMode val="edge"/>
              <c:x val="3.2722902803436586E-2"/>
              <c:y val="0.23648531848926752"/>
            </c:manualLayout>
          </c:layout>
          <c:overlay val="0"/>
          <c:txPr>
            <a:bodyPr rot="-5400000" vert="horz"/>
            <a:lstStyle/>
            <a:p>
              <a:pPr>
                <a:defRPr/>
              </a:pPr>
              <a:endParaRPr lang="en-US"/>
            </a:p>
          </c:txPr>
        </c:title>
        <c:numFmt formatCode="_([$$]* #,##0_);_([$$]* \(#,##0\);_([$$]* &quot;-&quot;??_);_(@_)" sourceLinked="1"/>
        <c:majorTickMark val="out"/>
        <c:minorTickMark val="none"/>
        <c:tickLblPos val="nextTo"/>
        <c:crossAx val="141738752"/>
        <c:crosses val="autoZero"/>
        <c:crossBetween val="between"/>
      </c:valAx>
    </c:plotArea>
    <c:legend>
      <c:legendPos val="r"/>
      <c:layout>
        <c:manualLayout>
          <c:xMode val="edge"/>
          <c:yMode val="edge"/>
          <c:x val="0.68974404515225052"/>
          <c:y val="0.19899485373995923"/>
          <c:w val="0.28382846880982127"/>
          <c:h val="0.74252428416236449"/>
        </c:manualLayout>
      </c:layout>
      <c:overlay val="0"/>
      <c:spPr>
        <a:ln>
          <a:noFill/>
        </a:ln>
      </c:spPr>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799" l="0.70000000000000062" r="0.70000000000000062" t="0.75000000000000799"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TCO!$P$30</c:f>
          <c:strCache>
            <c:ptCount val="1"/>
            <c:pt idx="0">
              <c:v>IT Spending (TCO) Summary</c:v>
            </c:pt>
          </c:strCache>
        </c:strRef>
      </c:tx>
      <c:overlay val="0"/>
      <c:txPr>
        <a:bodyPr/>
        <a:lstStyle/>
        <a:p>
          <a:pPr>
            <a:defRPr/>
          </a:pPr>
          <a:endParaRPr lang="en-US"/>
        </a:p>
      </c:txPr>
    </c:title>
    <c:autoTitleDeleted val="0"/>
    <c:plotArea>
      <c:layout>
        <c:manualLayout>
          <c:layoutTarget val="inner"/>
          <c:xMode val="edge"/>
          <c:yMode val="edge"/>
          <c:x val="0.32361448268748166"/>
          <c:y val="0.28239027523372323"/>
          <c:w val="0.59725154443030859"/>
          <c:h val="0.65697869337330073"/>
        </c:manualLayout>
      </c:layout>
      <c:barChart>
        <c:barDir val="bar"/>
        <c:grouping val="clustered"/>
        <c:varyColors val="0"/>
        <c:ser>
          <c:idx val="0"/>
          <c:order val="0"/>
          <c:tx>
            <c:strRef>
              <c:f>TCO!$G$21</c:f>
              <c:strCache>
                <c:ptCount val="1"/>
                <c:pt idx="0">
                  <c:v>As-Is</c:v>
                </c:pt>
              </c:strCache>
            </c:strRef>
          </c:tx>
          <c:spPr>
            <a:solidFill>
              <a:schemeClr val="accent1">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TCO!$C$22:$C$26</c:f>
              <c:strCache>
                <c:ptCount val="5"/>
                <c:pt idx="0">
                  <c:v>Hardware</c:v>
                </c:pt>
                <c:pt idx="1">
                  <c:v>Software</c:v>
                </c:pt>
                <c:pt idx="2">
                  <c:v>Internal IT Staff</c:v>
                </c:pt>
                <c:pt idx="3">
                  <c:v>External IT Services</c:v>
                </c:pt>
                <c:pt idx="4">
                  <c:v>Telecom / Networking</c:v>
                </c:pt>
              </c:strCache>
            </c:strRef>
          </c:cat>
          <c:val>
            <c:numRef>
              <c:f>TCO!$G$22:$G$26</c:f>
              <c:numCache>
                <c:formatCode>_([$$]* #,##0_);_([$$]* \(#,##0\);_([$$]* "-"??_);_(@_)</c:formatCode>
                <c:ptCount val="5"/>
                <c:pt idx="0">
                  <c:v>2102.5996411504093</c:v>
                </c:pt>
                <c:pt idx="1">
                  <c:v>2587.8149429543496</c:v>
                </c:pt>
                <c:pt idx="2">
                  <c:v>3930.1969500813302</c:v>
                </c:pt>
                <c:pt idx="3">
                  <c:v>3396.5071126275843</c:v>
                </c:pt>
                <c:pt idx="4">
                  <c:v>3073.0302447582912</c:v>
                </c:pt>
              </c:numCache>
            </c:numRef>
          </c:val>
          <c:extLst>
            <c:ext xmlns:c16="http://schemas.microsoft.com/office/drawing/2014/chart" uri="{C3380CC4-5D6E-409C-BE32-E72D297353CC}">
              <c16:uniqueId val="{00000000-5E89-4782-9B91-94EF2491CD00}"/>
            </c:ext>
          </c:extLst>
        </c:ser>
        <c:ser>
          <c:idx val="1"/>
          <c:order val="1"/>
          <c:tx>
            <c:strRef>
              <c:f>TCO!$I$21</c:f>
              <c:strCache>
                <c:ptCount val="1"/>
                <c:pt idx="0">
                  <c:v>To-Be</c:v>
                </c:pt>
              </c:strCache>
            </c:strRef>
          </c:tx>
          <c:spPr>
            <a:solidFill>
              <a:schemeClr val="accent3">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TCO!$C$22:$C$26</c:f>
              <c:strCache>
                <c:ptCount val="5"/>
                <c:pt idx="0">
                  <c:v>Hardware</c:v>
                </c:pt>
                <c:pt idx="1">
                  <c:v>Software</c:v>
                </c:pt>
                <c:pt idx="2">
                  <c:v>Internal IT Staff</c:v>
                </c:pt>
                <c:pt idx="3">
                  <c:v>External IT Services</c:v>
                </c:pt>
                <c:pt idx="4">
                  <c:v>Telecom / Networking</c:v>
                </c:pt>
              </c:strCache>
            </c:strRef>
          </c:cat>
          <c:val>
            <c:numRef>
              <c:f>TCO!$I$22:$I$26</c:f>
              <c:numCache>
                <c:formatCode>_([$$]* #,##0_);_([$$]* \(#,##0\);_([$$]* "-"_);_(@_)</c:formatCode>
                <c:ptCount val="5"/>
                <c:pt idx="0">
                  <c:v>2084.7275442006307</c:v>
                </c:pt>
                <c:pt idx="1">
                  <c:v>2570.7224252561359</c:v>
                </c:pt>
                <c:pt idx="2">
                  <c:v>3903.1452788004285</c:v>
                </c:pt>
                <c:pt idx="3">
                  <c:v>3369.386003333253</c:v>
                </c:pt>
                <c:pt idx="4">
                  <c:v>3065.4705903561858</c:v>
                </c:pt>
              </c:numCache>
            </c:numRef>
          </c:val>
          <c:extLst>
            <c:ext xmlns:c16="http://schemas.microsoft.com/office/drawing/2014/chart" uri="{C3380CC4-5D6E-409C-BE32-E72D297353CC}">
              <c16:uniqueId val="{00000001-5E89-4782-9B91-94EF2491CD00}"/>
            </c:ext>
          </c:extLst>
        </c:ser>
        <c:dLbls>
          <c:showLegendKey val="0"/>
          <c:showVal val="1"/>
          <c:showCatName val="0"/>
          <c:showSerName val="0"/>
          <c:showPercent val="0"/>
          <c:showBubbleSize val="0"/>
        </c:dLbls>
        <c:gapWidth val="76"/>
        <c:axId val="141787520"/>
        <c:axId val="141789056"/>
      </c:barChart>
      <c:catAx>
        <c:axId val="141787520"/>
        <c:scaling>
          <c:orientation val="maxMin"/>
        </c:scaling>
        <c:delete val="0"/>
        <c:axPos val="l"/>
        <c:numFmt formatCode="General" sourceLinked="1"/>
        <c:majorTickMark val="out"/>
        <c:minorTickMark val="none"/>
        <c:tickLblPos val="nextTo"/>
        <c:crossAx val="141789056"/>
        <c:crosses val="autoZero"/>
        <c:auto val="1"/>
        <c:lblAlgn val="ctr"/>
        <c:lblOffset val="100"/>
        <c:noMultiLvlLbl val="0"/>
      </c:catAx>
      <c:valAx>
        <c:axId val="141789056"/>
        <c:scaling>
          <c:orientation val="minMax"/>
        </c:scaling>
        <c:delete val="0"/>
        <c:axPos val="t"/>
        <c:majorGridlines/>
        <c:title>
          <c:tx>
            <c:strRef>
              <c:f>TCO!$P$33</c:f>
              <c:strCache>
                <c:ptCount val="1"/>
                <c:pt idx="0">
                  <c:v>Annual IT Spending (per PC User)</c:v>
                </c:pt>
              </c:strCache>
            </c:strRef>
          </c:tx>
          <c:overlay val="0"/>
          <c:txPr>
            <a:bodyPr rot="0" vert="horz"/>
            <a:lstStyle/>
            <a:p>
              <a:pPr>
                <a:defRPr/>
              </a:pPr>
              <a:endParaRPr lang="en-US"/>
            </a:p>
          </c:txPr>
        </c:title>
        <c:numFmt formatCode="_([$$]* #,##0_);_([$$]* \(#,##0\);_([$$]* &quot;-&quot;??_);_(@_)" sourceLinked="1"/>
        <c:majorTickMark val="out"/>
        <c:minorTickMark val="none"/>
        <c:tickLblPos val="nextTo"/>
        <c:crossAx val="141787520"/>
        <c:crosses val="autoZero"/>
        <c:crossBetween val="between"/>
      </c:valAx>
    </c:plotArea>
    <c:legend>
      <c:legendPos val="r"/>
      <c:layout>
        <c:manualLayout>
          <c:xMode val="edge"/>
          <c:yMode val="edge"/>
          <c:x val="2.8038831390617643E-2"/>
          <c:y val="3.7866958473091211E-2"/>
          <c:w val="0.14733509839654324"/>
          <c:h val="0.14971128608923936"/>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799" l="0.70000000000000062" r="0.70000000000000062" t="0.75000000000000799"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'Direct Savings'!$M$25</c:f>
          <c:strCache>
            <c:ptCount val="1"/>
            <c:pt idx="0">
              <c:v>Direct Cost Savings</c:v>
            </c:pt>
          </c:strCache>
        </c:strRef>
      </c:tx>
      <c:layout>
        <c:manualLayout>
          <c:xMode val="edge"/>
          <c:yMode val="edge"/>
          <c:x val="0.22683179677917145"/>
          <c:y val="8.9327602165672326E-3"/>
        </c:manualLayout>
      </c:layout>
      <c:overlay val="0"/>
      <c:txPr>
        <a:bodyPr/>
        <a:lstStyle/>
        <a:p>
          <a:pPr>
            <a:defRPr/>
          </a:pPr>
          <a:endParaRPr lang="en-US"/>
        </a:p>
      </c:txPr>
    </c:title>
    <c:autoTitleDeleted val="0"/>
    <c:plotArea>
      <c:layout>
        <c:manualLayout>
          <c:layoutTarget val="inner"/>
          <c:xMode val="edge"/>
          <c:yMode val="edge"/>
          <c:x val="0.24028176805768134"/>
          <c:y val="0.11150493869425693"/>
          <c:w val="0.30107624737862804"/>
          <c:h val="0.79648547554744054"/>
        </c:manualLayout>
      </c:layout>
      <c:barChart>
        <c:barDir val="col"/>
        <c:grouping val="stacked"/>
        <c:varyColors val="0"/>
        <c:ser>
          <c:idx val="0"/>
          <c:order val="0"/>
          <c:tx>
            <c:strRef>
              <c:f>'Direct Savings'!$D$7</c:f>
              <c:strCache>
                <c:ptCount val="1"/>
                <c:pt idx="0">
                  <c:v>Software - Clients</c:v>
                </c:pt>
              </c:strCache>
            </c:strRef>
          </c:tx>
          <c:invertIfNegative val="0"/>
          <c:dLbls>
            <c:numFmt formatCode="_(\$* #,##0_);_(\$* \(#,##0\);_(\$* &quot;-&quot;??_);_(@_)"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'Direct Savings'!$J$6</c:f>
              <c:strCache>
                <c:ptCount val="1"/>
                <c:pt idx="0">
                  <c:v>Project Total</c:v>
                </c:pt>
              </c:strCache>
            </c:strRef>
          </c:cat>
          <c:val>
            <c:numRef>
              <c:f>'Direct Savings'!$J$7</c:f>
              <c:numCache>
                <c:formatCode>_([$$]* #,##0_);_([$$]* \(#,##0\);_([$$]* "-"??_);_(@_)</c:formatCode>
                <c:ptCount val="1"/>
                <c:pt idx="0">
                  <c:v>7.8837499999999991</c:v>
                </c:pt>
              </c:numCache>
            </c:numRef>
          </c:val>
          <c:extLst>
            <c:ext xmlns:c16="http://schemas.microsoft.com/office/drawing/2014/chart" uri="{C3380CC4-5D6E-409C-BE32-E72D297353CC}">
              <c16:uniqueId val="{00000000-E0B1-4539-AEBB-F69B46E6AA71}"/>
            </c:ext>
          </c:extLst>
        </c:ser>
        <c:ser>
          <c:idx val="1"/>
          <c:order val="1"/>
          <c:tx>
            <c:strRef>
              <c:f>'Direct Savings'!$D$8</c:f>
              <c:strCache>
                <c:ptCount val="1"/>
                <c:pt idx="0">
                  <c:v>Software - Servers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'Direct Savings'!$J$6</c:f>
              <c:strCache>
                <c:ptCount val="1"/>
                <c:pt idx="0">
                  <c:v>Project Total</c:v>
                </c:pt>
              </c:strCache>
            </c:strRef>
          </c:cat>
          <c:val>
            <c:numRef>
              <c:f>'Direct Savings'!$J$8</c:f>
              <c:numCache>
                <c:formatCode>_([$$]* #,##0_);_([$$]* \(#,##0\);_([$$]* "-"??_);_(@_)</c:formatCode>
                <c:ptCount val="1"/>
                <c:pt idx="0">
                  <c:v>5.2237500000000008</c:v>
                </c:pt>
              </c:numCache>
            </c:numRef>
          </c:val>
          <c:extLst>
            <c:ext xmlns:c16="http://schemas.microsoft.com/office/drawing/2014/chart" uri="{C3380CC4-5D6E-409C-BE32-E72D297353CC}">
              <c16:uniqueId val="{00000001-E0B1-4539-AEBB-F69B46E6AA71}"/>
            </c:ext>
          </c:extLst>
        </c:ser>
        <c:ser>
          <c:idx val="2"/>
          <c:order val="2"/>
          <c:tx>
            <c:strRef>
              <c:f>'Direct Savings'!$D$9</c:f>
              <c:strCache>
                <c:ptCount val="1"/>
                <c:pt idx="0">
                  <c:v>Hardware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'Direct Savings'!$J$6</c:f>
              <c:strCache>
                <c:ptCount val="1"/>
                <c:pt idx="0">
                  <c:v>Project Total</c:v>
                </c:pt>
              </c:strCache>
            </c:strRef>
          </c:cat>
          <c:val>
            <c:numRef>
              <c:f>'Direct Savings'!$J$9</c:f>
              <c:numCache>
                <c:formatCode>_([$$]* #,##0_);_([$$]* \(#,##0\);_([$$]* "-"??_);_(@_)</c:formatCode>
                <c:ptCount val="1"/>
                <c:pt idx="0">
                  <c:v>4.7249999999999996</c:v>
                </c:pt>
              </c:numCache>
            </c:numRef>
          </c:val>
          <c:extLst>
            <c:ext xmlns:c16="http://schemas.microsoft.com/office/drawing/2014/chart" uri="{C3380CC4-5D6E-409C-BE32-E72D297353CC}">
              <c16:uniqueId val="{00000002-E0B1-4539-AEBB-F69B46E6AA71}"/>
            </c:ext>
          </c:extLst>
        </c:ser>
        <c:ser>
          <c:idx val="3"/>
          <c:order val="3"/>
          <c:tx>
            <c:strRef>
              <c:f>'Direct Savings'!$D$10</c:f>
              <c:strCache>
                <c:ptCount val="1"/>
                <c:pt idx="0">
                  <c:v>IT Services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'Direct Savings'!$J$6</c:f>
              <c:strCache>
                <c:ptCount val="1"/>
                <c:pt idx="0">
                  <c:v>Project Total</c:v>
                </c:pt>
              </c:strCache>
            </c:strRef>
          </c:cat>
          <c:val>
            <c:numRef>
              <c:f>'Direct Savings'!$J$10</c:f>
              <c:numCache>
                <c:formatCode>_([$$]* #,##0_);_([$$]* \(#,##0\);_([$$]* "-"??_);_(@_)</c:formatCode>
                <c:ptCount val="1"/>
                <c:pt idx="0">
                  <c:v>3</c:v>
                </c:pt>
              </c:numCache>
            </c:numRef>
          </c:val>
          <c:extLst>
            <c:ext xmlns:c16="http://schemas.microsoft.com/office/drawing/2014/chart" uri="{C3380CC4-5D6E-409C-BE32-E72D297353CC}">
              <c16:uniqueId val="{00000003-E0B1-4539-AEBB-F69B46E6AA71}"/>
            </c:ext>
          </c:extLst>
        </c:ser>
        <c:ser>
          <c:idx val="4"/>
          <c:order val="4"/>
          <c:tx>
            <c:strRef>
              <c:f>'Direct Savings'!$D$11</c:f>
              <c:strCache>
                <c:ptCount val="1"/>
                <c:pt idx="0">
                  <c:v>Power/Electricity Usage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'Direct Savings'!$J$6</c:f>
              <c:strCache>
                <c:ptCount val="1"/>
                <c:pt idx="0">
                  <c:v>Project Total</c:v>
                </c:pt>
              </c:strCache>
            </c:strRef>
          </c:cat>
          <c:val>
            <c:numRef>
              <c:f>'Direct Savings'!$J$11</c:f>
              <c:numCache>
                <c:formatCode>_([$$]* #,##0_);_([$$]* \(#,##0\);_([$$]* "-"??_);_(@_)</c:formatCode>
                <c:ptCount val="1"/>
                <c:pt idx="0">
                  <c:v>7.9423087500000014</c:v>
                </c:pt>
              </c:numCache>
            </c:numRef>
          </c:val>
          <c:extLst>
            <c:ext xmlns:c16="http://schemas.microsoft.com/office/drawing/2014/chart" uri="{C3380CC4-5D6E-409C-BE32-E72D297353CC}">
              <c16:uniqueId val="{00000004-E0B1-4539-AEBB-F69B46E6AA71}"/>
            </c:ext>
          </c:extLst>
        </c:ser>
        <c:ser>
          <c:idx val="5"/>
          <c:order val="5"/>
          <c:tx>
            <c:strRef>
              <c:f>'Direct Savings'!$D$12</c:f>
              <c:strCache>
                <c:ptCount val="1"/>
                <c:pt idx="0">
                  <c:v>Other IT Costs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'Direct Savings'!$J$6</c:f>
              <c:strCache>
                <c:ptCount val="1"/>
                <c:pt idx="0">
                  <c:v>Project Total</c:v>
                </c:pt>
              </c:strCache>
            </c:strRef>
          </c:cat>
          <c:val>
            <c:numRef>
              <c:f>'Direct Savings'!$J$12</c:f>
              <c:numCache>
                <c:formatCode>_([$$]* #,##0_);_([$$]* \(#,##0\);_([$$]* "-"??_);_(@_)</c:formatCode>
                <c:ptCount val="1"/>
                <c:pt idx="0">
                  <c:v>4.875</c:v>
                </c:pt>
              </c:numCache>
            </c:numRef>
          </c:val>
          <c:extLst>
            <c:ext xmlns:c16="http://schemas.microsoft.com/office/drawing/2014/chart" uri="{C3380CC4-5D6E-409C-BE32-E72D297353CC}">
              <c16:uniqueId val="{00000005-E0B1-4539-AEBB-F69B46E6AA71}"/>
            </c:ext>
          </c:extLst>
        </c:ser>
        <c:ser>
          <c:idx val="6"/>
          <c:order val="6"/>
          <c:tx>
            <c:strRef>
              <c:f>'Direct Savings'!$D$16</c:f>
              <c:strCache>
                <c:ptCount val="1"/>
                <c:pt idx="0">
                  <c:v>Travel Expenses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'Direct Savings'!$J$6</c:f>
              <c:strCache>
                <c:ptCount val="1"/>
                <c:pt idx="0">
                  <c:v>Project Total</c:v>
                </c:pt>
              </c:strCache>
            </c:strRef>
          </c:cat>
          <c:val>
            <c:numRef>
              <c:f>'Direct Savings'!$J$16</c:f>
              <c:numCache>
                <c:formatCode>_([$$]* #,##0_);_([$$]* \(#,##0\);_([$$]* "-"??_);_(@_)</c:formatCode>
                <c:ptCount val="1"/>
                <c:pt idx="0">
                  <c:v>0</c:v>
                </c:pt>
              </c:numCache>
            </c:numRef>
          </c:val>
          <c:extLst>
            <c:ext xmlns:c16="http://schemas.microsoft.com/office/drawing/2014/chart" uri="{C3380CC4-5D6E-409C-BE32-E72D297353CC}">
              <c16:uniqueId val="{00000006-E0B1-4539-AEBB-F69B46E6AA71}"/>
            </c:ext>
          </c:extLst>
        </c:ser>
        <c:ser>
          <c:idx val="7"/>
          <c:order val="7"/>
          <c:tx>
            <c:strRef>
              <c:f>'Direct Savings'!$D$17</c:f>
              <c:strCache>
                <c:ptCount val="1"/>
                <c:pt idx="0">
                  <c:v>Business Services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'Direct Savings'!$J$6</c:f>
              <c:strCache>
                <c:ptCount val="1"/>
                <c:pt idx="0">
                  <c:v>Project Total</c:v>
                </c:pt>
              </c:strCache>
            </c:strRef>
          </c:cat>
          <c:val>
            <c:numRef>
              <c:f>'Direct Savings'!$J$17</c:f>
              <c:numCache>
                <c:formatCode>_([$$]* #,##0_);_([$$]* \(#,##0\);_([$$]* "-"??_);_(@_)</c:formatCode>
                <c:ptCount val="1"/>
                <c:pt idx="0">
                  <c:v>0</c:v>
                </c:pt>
              </c:numCache>
            </c:numRef>
          </c:val>
          <c:extLst>
            <c:ext xmlns:c16="http://schemas.microsoft.com/office/drawing/2014/chart" uri="{C3380CC4-5D6E-409C-BE32-E72D297353CC}">
              <c16:uniqueId val="{00000007-E0B1-4539-AEBB-F69B46E6AA71}"/>
            </c:ext>
          </c:extLst>
        </c:ser>
        <c:ser>
          <c:idx val="8"/>
          <c:order val="8"/>
          <c:tx>
            <c:strRef>
              <c:f>'Direct Savings'!$D$18</c:f>
              <c:strCache>
                <c:ptCount val="1"/>
                <c:pt idx="0">
                  <c:v>Other Business Expenses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'Direct Savings'!$J$6</c:f>
              <c:strCache>
                <c:ptCount val="1"/>
                <c:pt idx="0">
                  <c:v>Project Total</c:v>
                </c:pt>
              </c:strCache>
            </c:strRef>
          </c:cat>
          <c:val>
            <c:numRef>
              <c:f>'Direct Savings'!$J$18</c:f>
              <c:numCache>
                <c:formatCode>_([$$]* #,##0_);_([$$]* \(#,##0\);_([$$]* "-"??_);_(@_)</c:formatCode>
                <c:ptCount val="1"/>
                <c:pt idx="0">
                  <c:v>0</c:v>
                </c:pt>
              </c:numCache>
            </c:numRef>
          </c:val>
          <c:extLst>
            <c:ext xmlns:c16="http://schemas.microsoft.com/office/drawing/2014/chart" uri="{C3380CC4-5D6E-409C-BE32-E72D297353CC}">
              <c16:uniqueId val="{00000008-E0B1-4539-AEBB-F69B46E6AA71}"/>
            </c:ext>
          </c:extLst>
        </c:ser>
        <c:dLbls>
          <c:showLegendKey val="0"/>
          <c:showVal val="1"/>
          <c:showCatName val="0"/>
          <c:showSerName val="0"/>
          <c:showPercent val="0"/>
          <c:showBubbleSize val="0"/>
        </c:dLbls>
        <c:gapWidth val="150"/>
        <c:overlap val="100"/>
        <c:axId val="143082624"/>
        <c:axId val="143084160"/>
      </c:barChart>
      <c:catAx>
        <c:axId val="143082624"/>
        <c:scaling>
          <c:orientation val="minMax"/>
        </c:scaling>
        <c:delete val="0"/>
        <c:axPos val="b"/>
        <c:numFmt formatCode="General" sourceLinked="1"/>
        <c:majorTickMark val="out"/>
        <c:minorTickMark val="none"/>
        <c:tickLblPos val="nextTo"/>
        <c:crossAx val="143084160"/>
        <c:crosses val="autoZero"/>
        <c:auto val="1"/>
        <c:lblAlgn val="ctr"/>
        <c:lblOffset val="100"/>
        <c:noMultiLvlLbl val="1"/>
      </c:catAx>
      <c:valAx>
        <c:axId val="143084160"/>
        <c:scaling>
          <c:orientation val="minMax"/>
        </c:scaling>
        <c:delete val="0"/>
        <c:axPos val="l"/>
        <c:majorGridlines/>
        <c:title>
          <c:tx>
            <c:strRef>
              <c:f>'Direct Savings'!$M$26</c:f>
              <c:strCache>
                <c:ptCount val="1"/>
                <c:pt idx="0">
                  <c:v>Benefit (per PC)</c:v>
                </c:pt>
              </c:strCache>
            </c:strRef>
          </c:tx>
          <c:layout>
            <c:manualLayout>
              <c:xMode val="edge"/>
              <c:yMode val="edge"/>
              <c:x val="3.0084177330941E-2"/>
              <c:y val="0.27820708852071424"/>
            </c:manualLayout>
          </c:layout>
          <c:overlay val="0"/>
          <c:txPr>
            <a:bodyPr/>
            <a:lstStyle/>
            <a:p>
              <a:pPr>
                <a:defRPr/>
              </a:pPr>
              <a:endParaRPr lang="en-US"/>
            </a:p>
          </c:txPr>
        </c:title>
        <c:numFmt formatCode="_([$$]* #,##0_);_([$$]* \(#,##0\);_([$$]* &quot;-&quot;??_);_(@_)" sourceLinked="1"/>
        <c:majorTickMark val="out"/>
        <c:minorTickMark val="none"/>
        <c:tickLblPos val="nextTo"/>
        <c:txPr>
          <a:bodyPr rot="0" vert="horz"/>
          <a:lstStyle/>
          <a:p>
            <a:pPr>
              <a:defRPr/>
            </a:pPr>
            <a:endParaRPr lang="en-US"/>
          </a:p>
        </c:txPr>
        <c:crossAx val="143082624"/>
        <c:crossesAt val="1"/>
        <c:crossBetween val="between"/>
      </c:valAx>
    </c:plotArea>
    <c:legend>
      <c:legendPos val="r"/>
      <c:layout>
        <c:manualLayout>
          <c:xMode val="edge"/>
          <c:yMode val="edge"/>
          <c:x val="0.55935768079241066"/>
          <c:y val="0.15691114881826479"/>
          <c:w val="0.42163758424669284"/>
          <c:h val="0.77721936931796143"/>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alignWithMargins="0"/>
    <c:pageMargins b="0.75000000000000977" l="0.70000000000000062" r="0.70000000000000062" t="0.75000000000000977" header="0.30000000000000032" footer="0.30000000000000032"/>
    <c:pageSetup paperSize="0" orientation="portrait" horizontalDpi="0" verticalDpi="0" copies="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Productivity!$S$50</c:f>
          <c:strCache>
            <c:ptCount val="1"/>
            <c:pt idx="0">
              <c:v>Time by Business Activity - Summary</c:v>
            </c:pt>
          </c:strCache>
        </c:strRef>
      </c:tx>
      <c:overlay val="0"/>
      <c:txPr>
        <a:bodyPr/>
        <a:lstStyle/>
        <a:p>
          <a:pPr>
            <a:defRPr/>
          </a:pPr>
          <a:endParaRPr lang="en-US"/>
        </a:p>
      </c:txPr>
    </c:title>
    <c:autoTitleDeleted val="0"/>
    <c:plotArea>
      <c:layout/>
      <c:barChart>
        <c:barDir val="col"/>
        <c:grouping val="stacked"/>
        <c:varyColors val="0"/>
        <c:ser>
          <c:idx val="0"/>
          <c:order val="0"/>
          <c:tx>
            <c:strRef>
              <c:f>Productivity!$D$15</c:f>
              <c:strCache>
                <c:ptCount val="1"/>
                <c:pt idx="0">
                  <c:v>Individual Computing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Productivity!$G$13:$H$13</c:f>
              <c:strCache>
                <c:ptCount val="2"/>
                <c:pt idx="0">
                  <c:v>Info Wrkr</c:v>
                </c:pt>
                <c:pt idx="1">
                  <c:v>Task Wrkr</c:v>
                </c:pt>
              </c:strCache>
            </c:strRef>
          </c:cat>
          <c:val>
            <c:numRef>
              <c:f>Productivity!$G$15:$H$15</c:f>
              <c:numCache>
                <c:formatCode>0.0</c:formatCode>
                <c:ptCount val="2"/>
                <c:pt idx="0">
                  <c:v>11.224615384615387</c:v>
                </c:pt>
                <c:pt idx="1">
                  <c:v>10.523076923076921</c:v>
                </c:pt>
              </c:numCache>
            </c:numRef>
          </c:val>
          <c:extLst>
            <c:ext xmlns:c16="http://schemas.microsoft.com/office/drawing/2014/chart" uri="{C3380CC4-5D6E-409C-BE32-E72D297353CC}">
              <c16:uniqueId val="{00000000-D070-4572-8DCB-9CEDC6716A74}"/>
            </c:ext>
          </c:extLst>
        </c:ser>
        <c:ser>
          <c:idx val="1"/>
          <c:order val="1"/>
          <c:tx>
            <c:strRef>
              <c:f>Productivity!$D$16</c:f>
              <c:strCache>
                <c:ptCount val="1"/>
                <c:pt idx="0">
                  <c:v>Collaborative Computing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Productivity!$G$13:$H$13</c:f>
              <c:strCache>
                <c:ptCount val="2"/>
                <c:pt idx="0">
                  <c:v>Info Wrkr</c:v>
                </c:pt>
                <c:pt idx="1">
                  <c:v>Task Wrkr</c:v>
                </c:pt>
              </c:strCache>
            </c:strRef>
          </c:cat>
          <c:val>
            <c:numRef>
              <c:f>Productivity!$G$16:$H$16</c:f>
              <c:numCache>
                <c:formatCode>0.0</c:formatCode>
                <c:ptCount val="2"/>
                <c:pt idx="0">
                  <c:v>7.3661538461538454</c:v>
                </c:pt>
                <c:pt idx="1">
                  <c:v>1.0523076923076924</c:v>
                </c:pt>
              </c:numCache>
            </c:numRef>
          </c:val>
          <c:extLst>
            <c:ext xmlns:c16="http://schemas.microsoft.com/office/drawing/2014/chart" uri="{C3380CC4-5D6E-409C-BE32-E72D297353CC}">
              <c16:uniqueId val="{00000001-D070-4572-8DCB-9CEDC6716A74}"/>
            </c:ext>
          </c:extLst>
        </c:ser>
        <c:ser>
          <c:idx val="2"/>
          <c:order val="2"/>
          <c:tx>
            <c:strRef>
              <c:f>Productivity!$D$17</c:f>
              <c:strCache>
                <c:ptCount val="1"/>
                <c:pt idx="0">
                  <c:v>PC Systems Management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Productivity!$G$13:$H$13</c:f>
              <c:strCache>
                <c:ptCount val="2"/>
                <c:pt idx="0">
                  <c:v>Info Wrkr</c:v>
                </c:pt>
                <c:pt idx="1">
                  <c:v>Task Wrkr</c:v>
                </c:pt>
              </c:strCache>
            </c:strRef>
          </c:cat>
          <c:val>
            <c:numRef>
              <c:f>Productivity!$G$17:$H$17</c:f>
              <c:numCache>
                <c:formatCode>0.0</c:formatCode>
                <c:ptCount val="2"/>
                <c:pt idx="0">
                  <c:v>1.4030769230769233</c:v>
                </c:pt>
                <c:pt idx="1">
                  <c:v>0.70153846153846167</c:v>
                </c:pt>
              </c:numCache>
            </c:numRef>
          </c:val>
          <c:extLst>
            <c:ext xmlns:c16="http://schemas.microsoft.com/office/drawing/2014/chart" uri="{C3380CC4-5D6E-409C-BE32-E72D297353CC}">
              <c16:uniqueId val="{00000002-D070-4572-8DCB-9CEDC6716A74}"/>
            </c:ext>
          </c:extLst>
        </c:ser>
        <c:ser>
          <c:idx val="3"/>
          <c:order val="3"/>
          <c:tx>
            <c:strRef>
              <c:f>Productivity!$D$18</c:f>
              <c:strCache>
                <c:ptCount val="1"/>
                <c:pt idx="0">
                  <c:v>Non-Computing-Related Activities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Productivity!$G$13:$H$13</c:f>
              <c:strCache>
                <c:ptCount val="2"/>
                <c:pt idx="0">
                  <c:v>Info Wrkr</c:v>
                </c:pt>
                <c:pt idx="1">
                  <c:v>Task Wrkr</c:v>
                </c:pt>
              </c:strCache>
            </c:strRef>
          </c:cat>
          <c:val>
            <c:numRef>
              <c:f>Productivity!$G$18:$H$18</c:f>
              <c:numCache>
                <c:formatCode>0.0</c:formatCode>
                <c:ptCount val="2"/>
                <c:pt idx="0">
                  <c:v>15.083076923076922</c:v>
                </c:pt>
                <c:pt idx="1">
                  <c:v>22.800000000000004</c:v>
                </c:pt>
              </c:numCache>
            </c:numRef>
          </c:val>
          <c:extLst>
            <c:ext xmlns:c16="http://schemas.microsoft.com/office/drawing/2014/chart" uri="{C3380CC4-5D6E-409C-BE32-E72D297353CC}">
              <c16:uniqueId val="{00000003-D070-4572-8DCB-9CEDC6716A74}"/>
            </c:ext>
          </c:extLst>
        </c:ser>
        <c:dLbls>
          <c:showLegendKey val="0"/>
          <c:showVal val="1"/>
          <c:showCatName val="0"/>
          <c:showSerName val="0"/>
          <c:showPercent val="0"/>
          <c:showBubbleSize val="0"/>
        </c:dLbls>
        <c:gapWidth val="150"/>
        <c:overlap val="100"/>
        <c:axId val="127438848"/>
        <c:axId val="127440384"/>
      </c:barChart>
      <c:catAx>
        <c:axId val="127438848"/>
        <c:scaling>
          <c:orientation val="minMax"/>
        </c:scaling>
        <c:delete val="0"/>
        <c:axPos val="b"/>
        <c:numFmt formatCode="General" sourceLinked="1"/>
        <c:majorTickMark val="out"/>
        <c:minorTickMark val="none"/>
        <c:tickLblPos val="nextTo"/>
        <c:crossAx val="127440384"/>
        <c:crosses val="autoZero"/>
        <c:auto val="1"/>
        <c:lblAlgn val="ctr"/>
        <c:lblOffset val="100"/>
        <c:noMultiLvlLbl val="0"/>
      </c:catAx>
      <c:valAx>
        <c:axId val="127440384"/>
        <c:scaling>
          <c:orientation val="minMax"/>
        </c:scaling>
        <c:delete val="0"/>
        <c:axPos val="l"/>
        <c:majorGridlines/>
        <c:title>
          <c:tx>
            <c:strRef>
              <c:f>Productivity!$S$51</c:f>
              <c:strCache>
                <c:ptCount val="1"/>
                <c:pt idx="0">
                  <c:v>Hours per Week</c:v>
                </c:pt>
              </c:strCache>
            </c:strRef>
          </c:tx>
          <c:overlay val="0"/>
          <c:txPr>
            <a:bodyPr rot="-5400000" vert="horz"/>
            <a:lstStyle/>
            <a:p>
              <a:pPr>
                <a:defRPr/>
              </a:pPr>
              <a:endParaRPr lang="en-US"/>
            </a:p>
          </c:txPr>
        </c:title>
        <c:numFmt formatCode="0.0" sourceLinked="1"/>
        <c:majorTickMark val="out"/>
        <c:minorTickMark val="none"/>
        <c:tickLblPos val="nextTo"/>
        <c:crossAx val="127438848"/>
        <c:crosses val="autoZero"/>
        <c:crossBetween val="between"/>
      </c:valAx>
    </c:plotArea>
    <c:legend>
      <c:legendPos val="r"/>
      <c:layout>
        <c:manualLayout>
          <c:xMode val="edge"/>
          <c:yMode val="edge"/>
          <c:x val="0.63268291674829213"/>
          <c:y val="0.23122038155118096"/>
          <c:w val="0.32303156980469228"/>
          <c:h val="0.73435291236366063"/>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777" l="0.70000000000000062" r="0.70000000000000062" t="0.75000000000000777"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Productivity!$S$72</c:f>
          <c:strCache>
            <c:ptCount val="1"/>
            <c:pt idx="0">
              <c:v>Time by Business Activity - Collaborative Computing</c:v>
            </c:pt>
          </c:strCache>
        </c:strRef>
      </c:tx>
      <c:overlay val="0"/>
      <c:txPr>
        <a:bodyPr/>
        <a:lstStyle/>
        <a:p>
          <a:pPr>
            <a:defRPr/>
          </a:pPr>
          <a:endParaRPr lang="en-US"/>
        </a:p>
      </c:txPr>
    </c:title>
    <c:autoTitleDeleted val="0"/>
    <c:plotArea>
      <c:layout/>
      <c:barChart>
        <c:barDir val="col"/>
        <c:grouping val="stacked"/>
        <c:varyColors val="0"/>
        <c:ser>
          <c:idx val="0"/>
          <c:order val="0"/>
          <c:tx>
            <c:strRef>
              <c:f>Productivity!$D$30</c:f>
              <c:strCache>
                <c:ptCount val="1"/>
                <c:pt idx="0">
                  <c:v>Document Collaboration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Productivity!$G$13:$H$13</c:f>
              <c:strCache>
                <c:ptCount val="2"/>
                <c:pt idx="0">
                  <c:v>Info Wrkr</c:v>
                </c:pt>
                <c:pt idx="1">
                  <c:v>Task Wrkr</c:v>
                </c:pt>
              </c:strCache>
            </c:strRef>
          </c:cat>
          <c:val>
            <c:numRef>
              <c:f>Productivity!$G$30:$H$30</c:f>
              <c:numCache>
                <c:formatCode>0.0</c:formatCode>
                <c:ptCount val="2"/>
                <c:pt idx="0">
                  <c:v>4.4196923076923067</c:v>
                </c:pt>
                <c:pt idx="1">
                  <c:v>0.4945846153846154</c:v>
                </c:pt>
              </c:numCache>
            </c:numRef>
          </c:val>
          <c:extLst>
            <c:ext xmlns:c16="http://schemas.microsoft.com/office/drawing/2014/chart" uri="{C3380CC4-5D6E-409C-BE32-E72D297353CC}">
              <c16:uniqueId val="{00000000-ED44-4839-88D8-A1B9B0814513}"/>
            </c:ext>
          </c:extLst>
        </c:ser>
        <c:ser>
          <c:idx val="1"/>
          <c:order val="1"/>
          <c:tx>
            <c:strRef>
              <c:f>Productivity!$D$31</c:f>
              <c:strCache>
                <c:ptCount val="1"/>
                <c:pt idx="0">
                  <c:v>Workflow (routing)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Productivity!$G$13:$H$13</c:f>
              <c:strCache>
                <c:ptCount val="2"/>
                <c:pt idx="0">
                  <c:v>Info Wrkr</c:v>
                </c:pt>
                <c:pt idx="1">
                  <c:v>Task Wrkr</c:v>
                </c:pt>
              </c:strCache>
            </c:strRef>
          </c:cat>
          <c:val>
            <c:numRef>
              <c:f>Productivity!$G$31:$H$31</c:f>
              <c:numCache>
                <c:formatCode>0.0</c:formatCode>
                <c:ptCount val="2"/>
                <c:pt idx="0">
                  <c:v>1.1049230769230767</c:v>
                </c:pt>
                <c:pt idx="1">
                  <c:v>0.29464615384615389</c:v>
                </c:pt>
              </c:numCache>
            </c:numRef>
          </c:val>
          <c:extLst>
            <c:ext xmlns:c16="http://schemas.microsoft.com/office/drawing/2014/chart" uri="{C3380CC4-5D6E-409C-BE32-E72D297353CC}">
              <c16:uniqueId val="{00000001-ED44-4839-88D8-A1B9B0814513}"/>
            </c:ext>
          </c:extLst>
        </c:ser>
        <c:ser>
          <c:idx val="2"/>
          <c:order val="2"/>
          <c:tx>
            <c:strRef>
              <c:f>Productivity!$D$32</c:f>
              <c:strCache>
                <c:ptCount val="1"/>
                <c:pt idx="0">
                  <c:v>Coordination / Project Mgmt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Productivity!$G$13:$H$13</c:f>
              <c:strCache>
                <c:ptCount val="2"/>
                <c:pt idx="0">
                  <c:v>Info Wrkr</c:v>
                </c:pt>
                <c:pt idx="1">
                  <c:v>Task Wrkr</c:v>
                </c:pt>
              </c:strCache>
            </c:strRef>
          </c:cat>
          <c:val>
            <c:numRef>
              <c:f>Productivity!$G$32:$H$32</c:f>
              <c:numCache>
                <c:formatCode>0.0</c:formatCode>
                <c:ptCount val="2"/>
                <c:pt idx="0">
                  <c:v>1.1785846153846153</c:v>
                </c:pt>
                <c:pt idx="1">
                  <c:v>0.15784615384615386</c:v>
                </c:pt>
              </c:numCache>
            </c:numRef>
          </c:val>
          <c:extLst>
            <c:ext xmlns:c16="http://schemas.microsoft.com/office/drawing/2014/chart" uri="{C3380CC4-5D6E-409C-BE32-E72D297353CC}">
              <c16:uniqueId val="{00000002-ED44-4839-88D8-A1B9B0814513}"/>
            </c:ext>
          </c:extLst>
        </c:ser>
        <c:ser>
          <c:idx val="3"/>
          <c:order val="3"/>
          <c:tx>
            <c:strRef>
              <c:f>Productivity!$D$33</c:f>
              <c:strCache>
                <c:ptCount val="1"/>
                <c:pt idx="0">
                  <c:v>Other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Productivity!$G$13:$H$13</c:f>
              <c:strCache>
                <c:ptCount val="2"/>
                <c:pt idx="0">
                  <c:v>Info Wrkr</c:v>
                </c:pt>
                <c:pt idx="1">
                  <c:v>Task Wrkr</c:v>
                </c:pt>
              </c:strCache>
            </c:strRef>
          </c:cat>
          <c:val>
            <c:numRef>
              <c:f>Productivity!$G$33:$H$33</c:f>
              <c:numCache>
                <c:formatCode>0.0</c:formatCode>
                <c:ptCount val="2"/>
                <c:pt idx="0">
                  <c:v>0.66295384615384589</c:v>
                </c:pt>
                <c:pt idx="1">
                  <c:v>0.10523076923076921</c:v>
                </c:pt>
              </c:numCache>
            </c:numRef>
          </c:val>
          <c:extLst>
            <c:ext xmlns:c16="http://schemas.microsoft.com/office/drawing/2014/chart" uri="{C3380CC4-5D6E-409C-BE32-E72D297353CC}">
              <c16:uniqueId val="{00000003-ED44-4839-88D8-A1B9B0814513}"/>
            </c:ext>
          </c:extLst>
        </c:ser>
        <c:dLbls>
          <c:showLegendKey val="0"/>
          <c:showVal val="1"/>
          <c:showCatName val="0"/>
          <c:showSerName val="0"/>
          <c:showPercent val="0"/>
          <c:showBubbleSize val="0"/>
        </c:dLbls>
        <c:gapWidth val="150"/>
        <c:overlap val="100"/>
        <c:axId val="140461952"/>
        <c:axId val="140463488"/>
      </c:barChart>
      <c:catAx>
        <c:axId val="140461952"/>
        <c:scaling>
          <c:orientation val="minMax"/>
        </c:scaling>
        <c:delete val="0"/>
        <c:axPos val="b"/>
        <c:numFmt formatCode="General" sourceLinked="1"/>
        <c:majorTickMark val="out"/>
        <c:minorTickMark val="none"/>
        <c:tickLblPos val="nextTo"/>
        <c:crossAx val="140463488"/>
        <c:crosses val="autoZero"/>
        <c:auto val="1"/>
        <c:lblAlgn val="ctr"/>
        <c:lblOffset val="100"/>
        <c:noMultiLvlLbl val="0"/>
      </c:catAx>
      <c:valAx>
        <c:axId val="140463488"/>
        <c:scaling>
          <c:orientation val="minMax"/>
        </c:scaling>
        <c:delete val="0"/>
        <c:axPos val="l"/>
        <c:majorGridlines/>
        <c:title>
          <c:tx>
            <c:strRef>
              <c:f>Productivity!$S$73</c:f>
              <c:strCache>
                <c:ptCount val="1"/>
                <c:pt idx="0">
                  <c:v>Hours per Week</c:v>
                </c:pt>
              </c:strCache>
            </c:strRef>
          </c:tx>
          <c:overlay val="0"/>
          <c:txPr>
            <a:bodyPr rot="-5400000" vert="horz"/>
            <a:lstStyle/>
            <a:p>
              <a:pPr>
                <a:defRPr/>
              </a:pPr>
              <a:endParaRPr lang="en-US"/>
            </a:p>
          </c:txPr>
        </c:title>
        <c:numFmt formatCode="0.0" sourceLinked="1"/>
        <c:majorTickMark val="out"/>
        <c:minorTickMark val="none"/>
        <c:tickLblPos val="nextTo"/>
        <c:crossAx val="140461952"/>
        <c:crosses val="autoZero"/>
        <c:crossBetween val="between"/>
      </c:valAx>
    </c:plotArea>
    <c:legend>
      <c:legendPos val="r"/>
      <c:layout>
        <c:manualLayout>
          <c:xMode val="edge"/>
          <c:yMode val="edge"/>
          <c:x val="0.63268291674829236"/>
          <c:y val="0.23122038155118102"/>
          <c:w val="0.3230315698046925"/>
          <c:h val="0.73435291236366063"/>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799" l="0.70000000000000062" r="0.70000000000000062" t="0.75000000000000799"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Productivity!$T$72</c:f>
          <c:strCache>
            <c:ptCount val="1"/>
            <c:pt idx="0">
              <c:v>Time by Business Activity - PC Systems Management</c:v>
            </c:pt>
          </c:strCache>
        </c:strRef>
      </c:tx>
      <c:overlay val="0"/>
      <c:txPr>
        <a:bodyPr/>
        <a:lstStyle/>
        <a:p>
          <a:pPr>
            <a:defRPr/>
          </a:pPr>
          <a:endParaRPr lang="en-US"/>
        </a:p>
      </c:txPr>
    </c:title>
    <c:autoTitleDeleted val="0"/>
    <c:plotArea>
      <c:layout/>
      <c:barChart>
        <c:barDir val="col"/>
        <c:grouping val="stacked"/>
        <c:varyColors val="0"/>
        <c:ser>
          <c:idx val="0"/>
          <c:order val="0"/>
          <c:tx>
            <c:strRef>
              <c:f>Productivity!$D$36</c:f>
              <c:strCache>
                <c:ptCount val="1"/>
                <c:pt idx="0">
                  <c:v>Support, Self-Help, &amp; Learning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Productivity!$G$13:$H$13</c:f>
              <c:strCache>
                <c:ptCount val="2"/>
                <c:pt idx="0">
                  <c:v>Info Wrkr</c:v>
                </c:pt>
                <c:pt idx="1">
                  <c:v>Task Wrkr</c:v>
                </c:pt>
              </c:strCache>
            </c:strRef>
          </c:cat>
          <c:val>
            <c:numRef>
              <c:f>Productivity!$G$36:$H$36</c:f>
              <c:numCache>
                <c:formatCode>0.0</c:formatCode>
                <c:ptCount val="2"/>
                <c:pt idx="0">
                  <c:v>0.49107692307692313</c:v>
                </c:pt>
                <c:pt idx="1">
                  <c:v>0.28061538461538466</c:v>
                </c:pt>
              </c:numCache>
            </c:numRef>
          </c:val>
          <c:extLst>
            <c:ext xmlns:c16="http://schemas.microsoft.com/office/drawing/2014/chart" uri="{C3380CC4-5D6E-409C-BE32-E72D297353CC}">
              <c16:uniqueId val="{00000000-CEF3-44EF-AC54-22813EF99D30}"/>
            </c:ext>
          </c:extLst>
        </c:ser>
        <c:ser>
          <c:idx val="1"/>
          <c:order val="1"/>
          <c:tx>
            <c:strRef>
              <c:f>Productivity!$D$37</c:f>
              <c:strCache>
                <c:ptCount val="1"/>
                <c:pt idx="0">
                  <c:v>Performance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Productivity!$G$13:$H$13</c:f>
              <c:strCache>
                <c:ptCount val="2"/>
                <c:pt idx="0">
                  <c:v>Info Wrkr</c:v>
                </c:pt>
                <c:pt idx="1">
                  <c:v>Task Wrkr</c:v>
                </c:pt>
              </c:strCache>
            </c:strRef>
          </c:cat>
          <c:val>
            <c:numRef>
              <c:f>Productivity!$G$37:$H$37</c:f>
              <c:numCache>
                <c:formatCode>0.0</c:formatCode>
                <c:ptCount val="2"/>
                <c:pt idx="0">
                  <c:v>0.35076923076923083</c:v>
                </c:pt>
                <c:pt idx="1">
                  <c:v>0.17538461538461542</c:v>
                </c:pt>
              </c:numCache>
            </c:numRef>
          </c:val>
          <c:extLst>
            <c:ext xmlns:c16="http://schemas.microsoft.com/office/drawing/2014/chart" uri="{C3380CC4-5D6E-409C-BE32-E72D297353CC}">
              <c16:uniqueId val="{00000001-CEF3-44EF-AC54-22813EF99D30}"/>
            </c:ext>
          </c:extLst>
        </c:ser>
        <c:ser>
          <c:idx val="2"/>
          <c:order val="2"/>
          <c:tx>
            <c:strRef>
              <c:f>Productivity!$D$38</c:f>
              <c:strCache>
                <c:ptCount val="1"/>
                <c:pt idx="0">
                  <c:v>Mobility &amp; Remote Connectivity</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Productivity!$G$13:$H$13</c:f>
              <c:strCache>
                <c:ptCount val="2"/>
                <c:pt idx="0">
                  <c:v>Info Wrkr</c:v>
                </c:pt>
                <c:pt idx="1">
                  <c:v>Task Wrkr</c:v>
                </c:pt>
              </c:strCache>
            </c:strRef>
          </c:cat>
          <c:val>
            <c:numRef>
              <c:f>Productivity!$G$38:$H$38</c:f>
              <c:numCache>
                <c:formatCode>0.0</c:formatCode>
                <c:ptCount val="2"/>
                <c:pt idx="0">
                  <c:v>0.23852307692307698</c:v>
                </c:pt>
                <c:pt idx="1">
                  <c:v>4.20923076923077E-2</c:v>
                </c:pt>
              </c:numCache>
            </c:numRef>
          </c:val>
          <c:extLst>
            <c:ext xmlns:c16="http://schemas.microsoft.com/office/drawing/2014/chart" uri="{C3380CC4-5D6E-409C-BE32-E72D297353CC}">
              <c16:uniqueId val="{00000002-CEF3-44EF-AC54-22813EF99D30}"/>
            </c:ext>
          </c:extLst>
        </c:ser>
        <c:ser>
          <c:idx val="3"/>
          <c:order val="3"/>
          <c:tx>
            <c:strRef>
              <c:f>Productivity!$D$39</c:f>
              <c:strCache>
                <c:ptCount val="1"/>
                <c:pt idx="0">
                  <c:v>Security &amp; Privacy</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Productivity!$G$13:$H$13</c:f>
              <c:strCache>
                <c:ptCount val="2"/>
                <c:pt idx="0">
                  <c:v>Info Wrkr</c:v>
                </c:pt>
                <c:pt idx="1">
                  <c:v>Task Wrkr</c:v>
                </c:pt>
              </c:strCache>
            </c:strRef>
          </c:cat>
          <c:val>
            <c:numRef>
              <c:f>Productivity!$G$39:$H$39</c:f>
              <c:numCache>
                <c:formatCode>0.0</c:formatCode>
                <c:ptCount val="2"/>
                <c:pt idx="0">
                  <c:v>0.18240000000000003</c:v>
                </c:pt>
                <c:pt idx="1">
                  <c:v>0.10523076923076925</c:v>
                </c:pt>
              </c:numCache>
            </c:numRef>
          </c:val>
          <c:extLst>
            <c:ext xmlns:c16="http://schemas.microsoft.com/office/drawing/2014/chart" uri="{C3380CC4-5D6E-409C-BE32-E72D297353CC}">
              <c16:uniqueId val="{00000003-CEF3-44EF-AC54-22813EF99D30}"/>
            </c:ext>
          </c:extLst>
        </c:ser>
        <c:ser>
          <c:idx val="4"/>
          <c:order val="4"/>
          <c:tx>
            <c:strRef>
              <c:f>Productivity!$D$40</c:f>
              <c:strCache>
                <c:ptCount val="1"/>
                <c:pt idx="0">
                  <c:v>System UI Navigation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Productivity!$G$13:$H$13</c:f>
              <c:strCache>
                <c:ptCount val="2"/>
                <c:pt idx="0">
                  <c:v>Info Wrkr</c:v>
                </c:pt>
                <c:pt idx="1">
                  <c:v>Task Wrkr</c:v>
                </c:pt>
              </c:strCache>
            </c:strRef>
          </c:cat>
          <c:val>
            <c:numRef>
              <c:f>Productivity!$G$40:$H$40</c:f>
              <c:numCache>
                <c:formatCode>0.0</c:formatCode>
                <c:ptCount val="2"/>
                <c:pt idx="0">
                  <c:v>8.4184615384615399E-2</c:v>
                </c:pt>
                <c:pt idx="1">
                  <c:v>5.6123076923076935E-2</c:v>
                </c:pt>
              </c:numCache>
            </c:numRef>
          </c:val>
          <c:extLst>
            <c:ext xmlns:c16="http://schemas.microsoft.com/office/drawing/2014/chart" uri="{C3380CC4-5D6E-409C-BE32-E72D297353CC}">
              <c16:uniqueId val="{00000004-CEF3-44EF-AC54-22813EF99D30}"/>
            </c:ext>
          </c:extLst>
        </c:ser>
        <c:ser>
          <c:idx val="5"/>
          <c:order val="5"/>
          <c:tx>
            <c:strRef>
              <c:f>Productivity!$D$41</c:f>
              <c:strCache>
                <c:ptCount val="1"/>
                <c:pt idx="0">
                  <c:v>Availability &amp; Reliability</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Productivity!$G$13:$H$13</c:f>
              <c:strCache>
                <c:ptCount val="2"/>
                <c:pt idx="0">
                  <c:v>Info Wrkr</c:v>
                </c:pt>
                <c:pt idx="1">
                  <c:v>Task Wrkr</c:v>
                </c:pt>
              </c:strCache>
            </c:strRef>
          </c:cat>
          <c:val>
            <c:numRef>
              <c:f>Productivity!$G$41:$H$41</c:f>
              <c:numCache>
                <c:formatCode>0.0</c:formatCode>
                <c:ptCount val="2"/>
                <c:pt idx="0">
                  <c:v>5.6123076923076984E-2</c:v>
                </c:pt>
                <c:pt idx="1">
                  <c:v>4.2092307692307734E-2</c:v>
                </c:pt>
              </c:numCache>
            </c:numRef>
          </c:val>
          <c:extLst>
            <c:ext xmlns:c16="http://schemas.microsoft.com/office/drawing/2014/chart" uri="{C3380CC4-5D6E-409C-BE32-E72D297353CC}">
              <c16:uniqueId val="{00000005-CEF3-44EF-AC54-22813EF99D30}"/>
            </c:ext>
          </c:extLst>
        </c:ser>
        <c:dLbls>
          <c:showLegendKey val="0"/>
          <c:showVal val="1"/>
          <c:showCatName val="0"/>
          <c:showSerName val="0"/>
          <c:showPercent val="0"/>
          <c:showBubbleSize val="0"/>
        </c:dLbls>
        <c:gapWidth val="150"/>
        <c:overlap val="100"/>
        <c:axId val="140372224"/>
        <c:axId val="143462400"/>
      </c:barChart>
      <c:catAx>
        <c:axId val="140372224"/>
        <c:scaling>
          <c:orientation val="minMax"/>
        </c:scaling>
        <c:delete val="0"/>
        <c:axPos val="b"/>
        <c:numFmt formatCode="General" sourceLinked="1"/>
        <c:majorTickMark val="out"/>
        <c:minorTickMark val="none"/>
        <c:tickLblPos val="nextTo"/>
        <c:crossAx val="143462400"/>
        <c:crosses val="autoZero"/>
        <c:auto val="1"/>
        <c:lblAlgn val="ctr"/>
        <c:lblOffset val="100"/>
        <c:noMultiLvlLbl val="0"/>
      </c:catAx>
      <c:valAx>
        <c:axId val="143462400"/>
        <c:scaling>
          <c:orientation val="minMax"/>
        </c:scaling>
        <c:delete val="0"/>
        <c:axPos val="l"/>
        <c:majorGridlines/>
        <c:title>
          <c:tx>
            <c:strRef>
              <c:f>Productivity!$T$73</c:f>
              <c:strCache>
                <c:ptCount val="1"/>
                <c:pt idx="0">
                  <c:v>Hours per Week</c:v>
                </c:pt>
              </c:strCache>
            </c:strRef>
          </c:tx>
          <c:overlay val="0"/>
          <c:txPr>
            <a:bodyPr rot="-5400000" vert="horz"/>
            <a:lstStyle/>
            <a:p>
              <a:pPr>
                <a:defRPr/>
              </a:pPr>
              <a:endParaRPr lang="en-US"/>
            </a:p>
          </c:txPr>
        </c:title>
        <c:numFmt formatCode="0.0" sourceLinked="1"/>
        <c:majorTickMark val="out"/>
        <c:minorTickMark val="none"/>
        <c:tickLblPos val="nextTo"/>
        <c:crossAx val="140372224"/>
        <c:crosses val="autoZero"/>
        <c:crossBetween val="between"/>
      </c:valAx>
    </c:plotArea>
    <c:legend>
      <c:legendPos val="r"/>
      <c:layout>
        <c:manualLayout>
          <c:xMode val="edge"/>
          <c:yMode val="edge"/>
          <c:x val="0.63268291674829236"/>
          <c:y val="0.23122038155118102"/>
          <c:w val="0.34442292786136453"/>
          <c:h val="0.7054741988500085"/>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799" l="0.70000000000000062" r="0.70000000000000062" t="0.75000000000000799"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Productivity!$T$50</c:f>
          <c:strCache>
            <c:ptCount val="1"/>
            <c:pt idx="0">
              <c:v>Time by Business Activity - Individual Computing</c:v>
            </c:pt>
          </c:strCache>
        </c:strRef>
      </c:tx>
      <c:overlay val="0"/>
      <c:txPr>
        <a:bodyPr/>
        <a:lstStyle/>
        <a:p>
          <a:pPr>
            <a:defRPr/>
          </a:pPr>
          <a:endParaRPr lang="en-US"/>
        </a:p>
      </c:txPr>
    </c:title>
    <c:autoTitleDeleted val="0"/>
    <c:plotArea>
      <c:layout/>
      <c:barChart>
        <c:barDir val="col"/>
        <c:grouping val="stacked"/>
        <c:varyColors val="0"/>
        <c:ser>
          <c:idx val="0"/>
          <c:order val="0"/>
          <c:tx>
            <c:strRef>
              <c:f>Productivity!$D$23</c:f>
              <c:strCache>
                <c:ptCount val="1"/>
                <c:pt idx="0">
                  <c:v>Document Creation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Productivity!$G$13:$H$13</c:f>
              <c:strCache>
                <c:ptCount val="2"/>
                <c:pt idx="0">
                  <c:v>Info Wrkr</c:v>
                </c:pt>
                <c:pt idx="1">
                  <c:v>Task Wrkr</c:v>
                </c:pt>
              </c:strCache>
            </c:strRef>
          </c:cat>
          <c:val>
            <c:numRef>
              <c:f>Productivity!$G$23:$H$23</c:f>
              <c:numCache>
                <c:formatCode>0.0</c:formatCode>
                <c:ptCount val="2"/>
                <c:pt idx="0">
                  <c:v>2.8061538461538467</c:v>
                </c:pt>
                <c:pt idx="1">
                  <c:v>2.9464615384615382</c:v>
                </c:pt>
              </c:numCache>
            </c:numRef>
          </c:val>
          <c:extLst>
            <c:ext xmlns:c16="http://schemas.microsoft.com/office/drawing/2014/chart" uri="{C3380CC4-5D6E-409C-BE32-E72D297353CC}">
              <c16:uniqueId val="{00000000-D99A-43B4-8E73-DCD3B5CA8046}"/>
            </c:ext>
          </c:extLst>
        </c:ser>
        <c:ser>
          <c:idx val="1"/>
          <c:order val="1"/>
          <c:tx>
            <c:strRef>
              <c:f>Productivity!$D$24</c:f>
              <c:strCache>
                <c:ptCount val="1"/>
                <c:pt idx="0">
                  <c:v>Data &amp; Information Access/Analysis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Productivity!$G$13:$H$13</c:f>
              <c:strCache>
                <c:ptCount val="2"/>
                <c:pt idx="0">
                  <c:v>Info Wrkr</c:v>
                </c:pt>
                <c:pt idx="1">
                  <c:v>Task Wrkr</c:v>
                </c:pt>
              </c:strCache>
            </c:strRef>
          </c:cat>
          <c:val>
            <c:numRef>
              <c:f>Productivity!$G$24:$H$24</c:f>
              <c:numCache>
                <c:formatCode>0.0</c:formatCode>
                <c:ptCount val="2"/>
                <c:pt idx="0">
                  <c:v>1.1224615384615386</c:v>
                </c:pt>
                <c:pt idx="1">
                  <c:v>0.52615384615384608</c:v>
                </c:pt>
              </c:numCache>
            </c:numRef>
          </c:val>
          <c:extLst>
            <c:ext xmlns:c16="http://schemas.microsoft.com/office/drawing/2014/chart" uri="{C3380CC4-5D6E-409C-BE32-E72D297353CC}">
              <c16:uniqueId val="{00000001-D99A-43B4-8E73-DCD3B5CA8046}"/>
            </c:ext>
          </c:extLst>
        </c:ser>
        <c:ser>
          <c:idx val="2"/>
          <c:order val="2"/>
          <c:tx>
            <c:strRef>
              <c:f>Productivity!$D$25</c:f>
              <c:strCache>
                <c:ptCount val="1"/>
                <c:pt idx="0">
                  <c:v>Email, Calendar, Contact, &amp; Task Mgmt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Productivity!$G$13:$H$13</c:f>
              <c:strCache>
                <c:ptCount val="2"/>
                <c:pt idx="0">
                  <c:v>Info Wrkr</c:v>
                </c:pt>
                <c:pt idx="1">
                  <c:v>Task Wrkr</c:v>
                </c:pt>
              </c:strCache>
            </c:strRef>
          </c:cat>
          <c:val>
            <c:numRef>
              <c:f>Productivity!$G$25:$H$25</c:f>
              <c:numCache>
                <c:formatCode>0.0</c:formatCode>
                <c:ptCount val="2"/>
                <c:pt idx="0">
                  <c:v>2.6939076923076928</c:v>
                </c:pt>
                <c:pt idx="1">
                  <c:v>0.84184615384615369</c:v>
                </c:pt>
              </c:numCache>
            </c:numRef>
          </c:val>
          <c:extLst>
            <c:ext xmlns:c16="http://schemas.microsoft.com/office/drawing/2014/chart" uri="{C3380CC4-5D6E-409C-BE32-E72D297353CC}">
              <c16:uniqueId val="{00000002-D99A-43B4-8E73-DCD3B5CA8046}"/>
            </c:ext>
          </c:extLst>
        </c:ser>
        <c:ser>
          <c:idx val="3"/>
          <c:order val="3"/>
          <c:tx>
            <c:strRef>
              <c:f>Productivity!$D$26</c:f>
              <c:strCache>
                <c:ptCount val="1"/>
                <c:pt idx="0">
                  <c:v>LOB Application-Related Activities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Productivity!$G$13:$H$13</c:f>
              <c:strCache>
                <c:ptCount val="2"/>
                <c:pt idx="0">
                  <c:v>Info Wrkr</c:v>
                </c:pt>
                <c:pt idx="1">
                  <c:v>Task Wrkr</c:v>
                </c:pt>
              </c:strCache>
            </c:strRef>
          </c:cat>
          <c:val>
            <c:numRef>
              <c:f>Productivity!$G$26:$H$26</c:f>
              <c:numCache>
                <c:formatCode>0.0</c:formatCode>
                <c:ptCount val="2"/>
                <c:pt idx="0">
                  <c:v>3.47963076923077</c:v>
                </c:pt>
                <c:pt idx="1">
                  <c:v>5.4719999999999995</c:v>
                </c:pt>
              </c:numCache>
            </c:numRef>
          </c:val>
          <c:extLst>
            <c:ext xmlns:c16="http://schemas.microsoft.com/office/drawing/2014/chart" uri="{C3380CC4-5D6E-409C-BE32-E72D297353CC}">
              <c16:uniqueId val="{00000003-D99A-43B4-8E73-DCD3B5CA8046}"/>
            </c:ext>
          </c:extLst>
        </c:ser>
        <c:ser>
          <c:idx val="4"/>
          <c:order val="4"/>
          <c:tx>
            <c:strRef>
              <c:f>Productivity!$D$27</c:f>
              <c:strCache>
                <c:ptCount val="1"/>
                <c:pt idx="0">
                  <c:v>Other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Productivity!$G$13:$H$13</c:f>
              <c:strCache>
                <c:ptCount val="2"/>
                <c:pt idx="0">
                  <c:v>Info Wrkr</c:v>
                </c:pt>
                <c:pt idx="1">
                  <c:v>Task Wrkr</c:v>
                </c:pt>
              </c:strCache>
            </c:strRef>
          </c:cat>
          <c:val>
            <c:numRef>
              <c:f>Productivity!$G$27:$H$27</c:f>
              <c:numCache>
                <c:formatCode>0.0</c:formatCode>
                <c:ptCount val="2"/>
                <c:pt idx="0">
                  <c:v>1.1224615384615397</c:v>
                </c:pt>
                <c:pt idx="1">
                  <c:v>0.73661538461538401</c:v>
                </c:pt>
              </c:numCache>
            </c:numRef>
          </c:val>
          <c:extLst>
            <c:ext xmlns:c16="http://schemas.microsoft.com/office/drawing/2014/chart" uri="{C3380CC4-5D6E-409C-BE32-E72D297353CC}">
              <c16:uniqueId val="{00000004-D99A-43B4-8E73-DCD3B5CA8046}"/>
            </c:ext>
          </c:extLst>
        </c:ser>
        <c:dLbls>
          <c:showLegendKey val="0"/>
          <c:showVal val="1"/>
          <c:showCatName val="0"/>
          <c:showSerName val="0"/>
          <c:showPercent val="0"/>
          <c:showBubbleSize val="0"/>
        </c:dLbls>
        <c:gapWidth val="150"/>
        <c:overlap val="100"/>
        <c:axId val="143525760"/>
        <c:axId val="143527296"/>
      </c:barChart>
      <c:catAx>
        <c:axId val="143525760"/>
        <c:scaling>
          <c:orientation val="minMax"/>
        </c:scaling>
        <c:delete val="0"/>
        <c:axPos val="b"/>
        <c:numFmt formatCode="General" sourceLinked="1"/>
        <c:majorTickMark val="out"/>
        <c:minorTickMark val="none"/>
        <c:tickLblPos val="nextTo"/>
        <c:crossAx val="143527296"/>
        <c:crosses val="autoZero"/>
        <c:auto val="1"/>
        <c:lblAlgn val="ctr"/>
        <c:lblOffset val="100"/>
        <c:noMultiLvlLbl val="0"/>
      </c:catAx>
      <c:valAx>
        <c:axId val="143527296"/>
        <c:scaling>
          <c:orientation val="minMax"/>
        </c:scaling>
        <c:delete val="0"/>
        <c:axPos val="l"/>
        <c:majorGridlines/>
        <c:title>
          <c:tx>
            <c:strRef>
              <c:f>Productivity!$T$51</c:f>
              <c:strCache>
                <c:ptCount val="1"/>
                <c:pt idx="0">
                  <c:v>Hours per Week</c:v>
                </c:pt>
              </c:strCache>
            </c:strRef>
          </c:tx>
          <c:overlay val="0"/>
          <c:txPr>
            <a:bodyPr rot="-5400000" vert="horz"/>
            <a:lstStyle/>
            <a:p>
              <a:pPr>
                <a:defRPr/>
              </a:pPr>
              <a:endParaRPr lang="en-US"/>
            </a:p>
          </c:txPr>
        </c:title>
        <c:numFmt formatCode="0.0" sourceLinked="1"/>
        <c:majorTickMark val="out"/>
        <c:minorTickMark val="none"/>
        <c:tickLblPos val="nextTo"/>
        <c:crossAx val="143525760"/>
        <c:crosses val="autoZero"/>
        <c:crossBetween val="between"/>
      </c:valAx>
    </c:plotArea>
    <c:legend>
      <c:legendPos val="r"/>
      <c:layout>
        <c:manualLayout>
          <c:xMode val="edge"/>
          <c:yMode val="edge"/>
          <c:x val="0.6326829167482928"/>
          <c:y val="0.23122038155118113"/>
          <c:w val="0.34442292786136475"/>
          <c:h val="0.7054741988500085"/>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822" l="0.70000000000000062" r="0.70000000000000062" t="0.750000000000008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ROI!$P$9</c:f>
          <c:strCache>
            <c:ptCount val="1"/>
            <c:pt idx="0">
              <c:v>Total Costs Vs Benefits
(per User)</c:v>
            </c:pt>
          </c:strCache>
        </c:strRef>
      </c:tx>
      <c:overlay val="0"/>
      <c:txPr>
        <a:bodyPr/>
        <a:lstStyle/>
        <a:p>
          <a:pPr>
            <a:defRPr sz="1400"/>
          </a:pPr>
          <a:endParaRPr lang="en-US"/>
        </a:p>
      </c:txPr>
    </c:title>
    <c:autoTitleDeleted val="0"/>
    <c:plotArea>
      <c:layout>
        <c:manualLayout>
          <c:layoutTarget val="inner"/>
          <c:xMode val="edge"/>
          <c:yMode val="edge"/>
          <c:x val="0.26127708453282855"/>
          <c:y val="0.25990099338848555"/>
          <c:w val="0.68058546422941169"/>
          <c:h val="0.58554636366656587"/>
        </c:manualLayout>
      </c:layout>
      <c:barChart>
        <c:barDir val="col"/>
        <c:grouping val="stacked"/>
        <c:varyColors val="0"/>
        <c:ser>
          <c:idx val="0"/>
          <c:order val="0"/>
          <c:spPr>
            <a:solidFill>
              <a:schemeClr val="accent2">
                <a:lumMod val="75000"/>
              </a:schemeClr>
            </a:solidFill>
          </c:spPr>
          <c:invertIfNegative val="0"/>
          <c:dPt>
            <c:idx val="1"/>
            <c:invertIfNegative val="0"/>
            <c:bubble3D val="0"/>
            <c:spPr>
              <a:solidFill>
                <a:schemeClr val="accent3">
                  <a:lumMod val="75000"/>
                </a:schemeClr>
              </a:solidFill>
            </c:spPr>
            <c:extLst>
              <c:ext xmlns:c16="http://schemas.microsoft.com/office/drawing/2014/chart" uri="{C3380CC4-5D6E-409C-BE32-E72D297353CC}">
                <c16:uniqueId val="{00000001-3E0D-4A3F-996C-419C925D1563}"/>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ROI!$D$8:$D$9</c:f>
              <c:strCache>
                <c:ptCount val="2"/>
                <c:pt idx="0">
                  <c:v>Costs</c:v>
                </c:pt>
                <c:pt idx="1">
                  <c:v>Benefits</c:v>
                </c:pt>
              </c:strCache>
            </c:strRef>
          </c:cat>
          <c:val>
            <c:numRef>
              <c:f>ROI!$E$8:$E$9</c:f>
              <c:numCache>
                <c:formatCode>_([$$]* #,##0_);_([$$]* \(#,##0\);_([$$]* "-"_);_(@_)</c:formatCode>
                <c:ptCount val="2"/>
                <c:pt idx="0">
                  <c:v>149.2571270096926</c:v>
                </c:pt>
                <c:pt idx="1">
                  <c:v>1057.058692141946</c:v>
                </c:pt>
              </c:numCache>
            </c:numRef>
          </c:val>
          <c:extLst>
            <c:ext xmlns:c16="http://schemas.microsoft.com/office/drawing/2014/chart" uri="{C3380CC4-5D6E-409C-BE32-E72D297353CC}">
              <c16:uniqueId val="{00000002-3E0D-4A3F-996C-419C925D1563}"/>
            </c:ext>
          </c:extLst>
        </c:ser>
        <c:dLbls>
          <c:showLegendKey val="0"/>
          <c:showVal val="1"/>
          <c:showCatName val="0"/>
          <c:showSerName val="0"/>
          <c:showPercent val="0"/>
          <c:showBubbleSize val="0"/>
        </c:dLbls>
        <c:gapWidth val="132"/>
        <c:overlap val="100"/>
        <c:axId val="136439680"/>
        <c:axId val="136860800"/>
      </c:barChart>
      <c:catAx>
        <c:axId val="136439680"/>
        <c:scaling>
          <c:orientation val="minMax"/>
        </c:scaling>
        <c:delete val="0"/>
        <c:axPos val="b"/>
        <c:numFmt formatCode="General" sourceLinked="0"/>
        <c:majorTickMark val="out"/>
        <c:minorTickMark val="none"/>
        <c:tickLblPos val="nextTo"/>
        <c:txPr>
          <a:bodyPr rot="0" vert="horz"/>
          <a:lstStyle/>
          <a:p>
            <a:pPr>
              <a:defRPr sz="1100"/>
            </a:pPr>
            <a:endParaRPr lang="en-US"/>
          </a:p>
        </c:txPr>
        <c:crossAx val="136860800"/>
        <c:crosses val="autoZero"/>
        <c:auto val="1"/>
        <c:lblAlgn val="ctr"/>
        <c:lblOffset val="100"/>
        <c:tickLblSkip val="1"/>
        <c:tickMarkSkip val="1"/>
        <c:noMultiLvlLbl val="1"/>
      </c:catAx>
      <c:valAx>
        <c:axId val="136860800"/>
        <c:scaling>
          <c:orientation val="minMax"/>
        </c:scaling>
        <c:delete val="0"/>
        <c:axPos val="l"/>
        <c:majorGridlines/>
        <c:title>
          <c:tx>
            <c:strRef>
              <c:f>ROI!$P$10</c:f>
              <c:strCache>
                <c:ptCount val="1"/>
                <c:pt idx="0">
                  <c:v>Costs &amp; Benefits (per User)</c:v>
                </c:pt>
              </c:strCache>
            </c:strRef>
          </c:tx>
          <c:layout>
            <c:manualLayout>
              <c:xMode val="edge"/>
              <c:yMode val="edge"/>
              <c:x val="4.1728845029742459E-2"/>
              <c:y val="0.17520282067745824"/>
            </c:manualLayout>
          </c:layout>
          <c:overlay val="0"/>
          <c:txPr>
            <a:bodyPr/>
            <a:lstStyle/>
            <a:p>
              <a:pPr>
                <a:defRPr sz="1050"/>
              </a:pPr>
              <a:endParaRPr lang="en-US"/>
            </a:p>
          </c:txPr>
        </c:title>
        <c:numFmt formatCode="_([$$]* #,##0_);_([$$]* \(#,##0\);_([$$]* &quot;-&quot;_);_(@_)" sourceLinked="1"/>
        <c:majorTickMark val="out"/>
        <c:minorTickMark val="none"/>
        <c:tickLblPos val="nextTo"/>
        <c:txPr>
          <a:bodyPr rot="0" vert="horz"/>
          <a:lstStyle/>
          <a:p>
            <a:pPr>
              <a:defRPr/>
            </a:pPr>
            <a:endParaRPr lang="en-US"/>
          </a:p>
        </c:txPr>
        <c:crossAx val="136439680"/>
        <c:crossesAt val="1"/>
        <c:crossBetween val="between"/>
      </c:valAx>
    </c:plotArea>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921" l="0.70000000000000062" r="0.70000000000000062" t="0.75000000000000921" header="0.30000000000000032" footer="0.30000000000000032"/>
    <c:pageSetup paperSize="0" orientation="landscape" horizontalDpi="0" verticalDpi="0" copies="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hart>
    <c:title>
      <c:tx>
        <c:strRef>
          <c:f>Productivity!$S$237</c:f>
          <c:strCache>
            <c:ptCount val="1"/>
            <c:pt idx="0">
              <c:v>Summary</c:v>
            </c:pt>
          </c:strCache>
        </c:strRef>
      </c:tx>
      <c:overlay val="0"/>
      <c:txPr>
        <a:bodyPr/>
        <a:lstStyle/>
        <a:p>
          <a:pPr>
            <a:defRPr/>
          </a:pPr>
          <a:endParaRPr lang="en-US"/>
        </a:p>
      </c:txPr>
    </c:title>
    <c:autoTitleDeleted val="0"/>
    <c:plotArea>
      <c:layout/>
      <c:barChart>
        <c:barDir val="bar"/>
        <c:grouping val="clustered"/>
        <c:varyColors val="0"/>
        <c:ser>
          <c:idx val="0"/>
          <c:order val="0"/>
          <c:tx>
            <c:strRef>
              <c:f>Productivity!$M$203</c:f>
              <c:strCache>
                <c:ptCount val="1"/>
                <c:pt idx="0">
                  <c:v>As-Is</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Productivity!$D$229:$D$232</c:f>
              <c:strCache>
                <c:ptCount val="4"/>
                <c:pt idx="0">
                  <c:v>Individual Computing</c:v>
                </c:pt>
                <c:pt idx="1">
                  <c:v>Collaborative Computing</c:v>
                </c:pt>
                <c:pt idx="2">
                  <c:v>PC Systems Management</c:v>
                </c:pt>
                <c:pt idx="3">
                  <c:v>Non-Computing-Related Activities</c:v>
                </c:pt>
              </c:strCache>
            </c:strRef>
          </c:cat>
          <c:val>
            <c:numRef>
              <c:f>Productivity!$M$229:$M$232</c:f>
              <c:numCache>
                <c:formatCode>0.0</c:formatCode>
                <c:ptCount val="4"/>
                <c:pt idx="0">
                  <c:v>10.834965473826065</c:v>
                </c:pt>
                <c:pt idx="1">
                  <c:v>3.8593046490499612</c:v>
                </c:pt>
                <c:pt idx="2">
                  <c:v>1.0134270122876028</c:v>
                </c:pt>
                <c:pt idx="3">
                  <c:v>19.369225941759453</c:v>
                </c:pt>
              </c:numCache>
            </c:numRef>
          </c:val>
          <c:extLst>
            <c:ext xmlns:c16="http://schemas.microsoft.com/office/drawing/2014/chart" uri="{C3380CC4-5D6E-409C-BE32-E72D297353CC}">
              <c16:uniqueId val="{00000000-37C5-4551-9FE5-34BC326985EF}"/>
            </c:ext>
          </c:extLst>
        </c:ser>
        <c:ser>
          <c:idx val="1"/>
          <c:order val="1"/>
          <c:tx>
            <c:strRef>
              <c:f>Productivity!$N$203</c:f>
              <c:strCache>
                <c:ptCount val="1"/>
                <c:pt idx="0">
                  <c:v>To-Be</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Productivity!$D$229:$D$232</c:f>
              <c:strCache>
                <c:ptCount val="4"/>
                <c:pt idx="0">
                  <c:v>Individual Computing</c:v>
                </c:pt>
                <c:pt idx="1">
                  <c:v>Collaborative Computing</c:v>
                </c:pt>
                <c:pt idx="2">
                  <c:v>PC Systems Management</c:v>
                </c:pt>
                <c:pt idx="3">
                  <c:v>Non-Computing-Related Activities</c:v>
                </c:pt>
              </c:strCache>
            </c:strRef>
          </c:cat>
          <c:val>
            <c:numRef>
              <c:f>Productivity!$N$229:$N$232</c:f>
              <c:numCache>
                <c:formatCode>0.0</c:formatCode>
                <c:ptCount val="4"/>
                <c:pt idx="0">
                  <c:v>10.796837944725921</c:v>
                </c:pt>
                <c:pt idx="1">
                  <c:v>3.8593046490499612</c:v>
                </c:pt>
                <c:pt idx="2">
                  <c:v>0.98333592041893791</c:v>
                </c:pt>
                <c:pt idx="3">
                  <c:v>19.369225941759453</c:v>
                </c:pt>
              </c:numCache>
            </c:numRef>
          </c:val>
          <c:extLst>
            <c:ext xmlns:c16="http://schemas.microsoft.com/office/drawing/2014/chart" uri="{C3380CC4-5D6E-409C-BE32-E72D297353CC}">
              <c16:uniqueId val="{00000001-37C5-4551-9FE5-34BC326985EF}"/>
            </c:ext>
          </c:extLst>
        </c:ser>
        <c:dLbls>
          <c:showLegendKey val="0"/>
          <c:showVal val="1"/>
          <c:showCatName val="0"/>
          <c:showSerName val="0"/>
          <c:showPercent val="0"/>
          <c:showBubbleSize val="0"/>
        </c:dLbls>
        <c:gapWidth val="150"/>
        <c:axId val="143566336"/>
        <c:axId val="143567872"/>
      </c:barChart>
      <c:catAx>
        <c:axId val="143566336"/>
        <c:scaling>
          <c:orientation val="maxMin"/>
        </c:scaling>
        <c:delete val="0"/>
        <c:axPos val="l"/>
        <c:numFmt formatCode="General" sourceLinked="0"/>
        <c:majorTickMark val="none"/>
        <c:minorTickMark val="none"/>
        <c:tickLblPos val="nextTo"/>
        <c:crossAx val="143567872"/>
        <c:crosses val="autoZero"/>
        <c:auto val="1"/>
        <c:lblAlgn val="ctr"/>
        <c:lblOffset val="100"/>
        <c:noMultiLvlLbl val="0"/>
      </c:catAx>
      <c:valAx>
        <c:axId val="143567872"/>
        <c:scaling>
          <c:orientation val="minMax"/>
        </c:scaling>
        <c:delete val="0"/>
        <c:axPos val="t"/>
        <c:majorGridlines/>
        <c:title>
          <c:tx>
            <c:strRef>
              <c:f>Productivity!$S$240</c:f>
              <c:strCache>
                <c:ptCount val="1"/>
                <c:pt idx="0">
                  <c:v>Time (Hours / Week)</c:v>
                </c:pt>
              </c:strCache>
            </c:strRef>
          </c:tx>
          <c:overlay val="0"/>
          <c:txPr>
            <a:bodyPr/>
            <a:lstStyle/>
            <a:p>
              <a:pPr>
                <a:defRPr/>
              </a:pPr>
              <a:endParaRPr lang="en-US"/>
            </a:p>
          </c:txPr>
        </c:title>
        <c:numFmt formatCode="0" sourceLinked="0"/>
        <c:majorTickMark val="none"/>
        <c:minorTickMark val="none"/>
        <c:tickLblPos val="nextTo"/>
        <c:crossAx val="143566336"/>
        <c:crosses val="autoZero"/>
        <c:crossBetween val="between"/>
      </c:valAx>
    </c:plotArea>
    <c:legend>
      <c:legendPos val="r"/>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522" l="0.70000000000000062" r="0.70000000000000062" t="0.7500000000000052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hart>
    <c:title>
      <c:tx>
        <c:strRef>
          <c:f>Productivity!$T$237</c:f>
          <c:strCache>
            <c:ptCount val="1"/>
            <c:pt idx="0">
              <c:v>Individual Computing</c:v>
            </c:pt>
          </c:strCache>
        </c:strRef>
      </c:tx>
      <c:overlay val="0"/>
      <c:txPr>
        <a:bodyPr/>
        <a:lstStyle/>
        <a:p>
          <a:pPr>
            <a:defRPr/>
          </a:pPr>
          <a:endParaRPr lang="en-US"/>
        </a:p>
      </c:txPr>
    </c:title>
    <c:autoTitleDeleted val="0"/>
    <c:plotArea>
      <c:layout/>
      <c:barChart>
        <c:barDir val="bar"/>
        <c:grouping val="clustered"/>
        <c:varyColors val="0"/>
        <c:ser>
          <c:idx val="0"/>
          <c:order val="0"/>
          <c:tx>
            <c:strRef>
              <c:f>Productivity!$M$203</c:f>
              <c:strCache>
                <c:ptCount val="1"/>
                <c:pt idx="0">
                  <c:v>As-Is</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Productivity!$D$205:$D$209</c:f>
              <c:strCache>
                <c:ptCount val="5"/>
                <c:pt idx="0">
                  <c:v>Document Creation</c:v>
                </c:pt>
                <c:pt idx="1">
                  <c:v>Data &amp; Information Access/Analysis</c:v>
                </c:pt>
                <c:pt idx="2">
                  <c:v>Email, Calendar, Contact, &amp; Task Mgmt</c:v>
                </c:pt>
                <c:pt idx="3">
                  <c:v>LOB Application-Related Activities</c:v>
                </c:pt>
                <c:pt idx="4">
                  <c:v>Other</c:v>
                </c:pt>
              </c:strCache>
            </c:strRef>
          </c:cat>
          <c:val>
            <c:numRef>
              <c:f>Productivity!$M$205:$M$209</c:f>
              <c:numCache>
                <c:formatCode>0.0</c:formatCode>
                <c:ptCount val="5"/>
                <c:pt idx="0">
                  <c:v>2.8840838283117103</c:v>
                </c:pt>
                <c:pt idx="1">
                  <c:v>0.79125911429061602</c:v>
                </c:pt>
                <c:pt idx="2">
                  <c:v>1.6652319278238861</c:v>
                </c:pt>
                <c:pt idx="3">
                  <c:v>4.5862365158724394</c:v>
                </c:pt>
                <c:pt idx="4">
                  <c:v>0.90815408752741233</c:v>
                </c:pt>
              </c:numCache>
            </c:numRef>
          </c:val>
          <c:extLst>
            <c:ext xmlns:c16="http://schemas.microsoft.com/office/drawing/2014/chart" uri="{C3380CC4-5D6E-409C-BE32-E72D297353CC}">
              <c16:uniqueId val="{00000000-B523-4CF3-BF9A-9499C97FF9EB}"/>
            </c:ext>
          </c:extLst>
        </c:ser>
        <c:ser>
          <c:idx val="1"/>
          <c:order val="1"/>
          <c:tx>
            <c:strRef>
              <c:f>Productivity!$N$203</c:f>
              <c:strCache>
                <c:ptCount val="1"/>
                <c:pt idx="0">
                  <c:v>To-Be</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Productivity!$D$205:$D$209</c:f>
              <c:strCache>
                <c:ptCount val="5"/>
                <c:pt idx="0">
                  <c:v>Document Creation</c:v>
                </c:pt>
                <c:pt idx="1">
                  <c:v>Data &amp; Information Access/Analysis</c:v>
                </c:pt>
                <c:pt idx="2">
                  <c:v>Email, Calendar, Contact, &amp; Task Mgmt</c:v>
                </c:pt>
                <c:pt idx="3">
                  <c:v>LOB Application-Related Activities</c:v>
                </c:pt>
                <c:pt idx="4">
                  <c:v>Other</c:v>
                </c:pt>
              </c:strCache>
            </c:strRef>
          </c:cat>
          <c:val>
            <c:numRef>
              <c:f>Productivity!$N$205:$N$209</c:f>
              <c:numCache>
                <c:formatCode>0.0</c:formatCode>
                <c:ptCount val="5"/>
                <c:pt idx="0">
                  <c:v>2.8840838283117103</c:v>
                </c:pt>
                <c:pt idx="1">
                  <c:v>0.79125911429061602</c:v>
                </c:pt>
                <c:pt idx="2">
                  <c:v>1.6652319278238861</c:v>
                </c:pt>
                <c:pt idx="3">
                  <c:v>4.5481089867722941</c:v>
                </c:pt>
                <c:pt idx="4">
                  <c:v>0.90815408752741233</c:v>
                </c:pt>
              </c:numCache>
            </c:numRef>
          </c:val>
          <c:extLst>
            <c:ext xmlns:c16="http://schemas.microsoft.com/office/drawing/2014/chart" uri="{C3380CC4-5D6E-409C-BE32-E72D297353CC}">
              <c16:uniqueId val="{00000001-B523-4CF3-BF9A-9499C97FF9EB}"/>
            </c:ext>
          </c:extLst>
        </c:ser>
        <c:dLbls>
          <c:showLegendKey val="0"/>
          <c:showVal val="1"/>
          <c:showCatName val="0"/>
          <c:showSerName val="0"/>
          <c:showPercent val="0"/>
          <c:showBubbleSize val="0"/>
        </c:dLbls>
        <c:gapWidth val="150"/>
        <c:axId val="150557824"/>
        <c:axId val="150559360"/>
      </c:barChart>
      <c:catAx>
        <c:axId val="150557824"/>
        <c:scaling>
          <c:orientation val="maxMin"/>
        </c:scaling>
        <c:delete val="0"/>
        <c:axPos val="l"/>
        <c:numFmt formatCode="General" sourceLinked="0"/>
        <c:majorTickMark val="none"/>
        <c:minorTickMark val="none"/>
        <c:tickLblPos val="nextTo"/>
        <c:crossAx val="150559360"/>
        <c:crosses val="autoZero"/>
        <c:auto val="1"/>
        <c:lblAlgn val="ctr"/>
        <c:lblOffset val="100"/>
        <c:noMultiLvlLbl val="0"/>
      </c:catAx>
      <c:valAx>
        <c:axId val="150559360"/>
        <c:scaling>
          <c:orientation val="minMax"/>
        </c:scaling>
        <c:delete val="0"/>
        <c:axPos val="t"/>
        <c:majorGridlines/>
        <c:title>
          <c:tx>
            <c:strRef>
              <c:f>Productivity!$T$240</c:f>
              <c:strCache>
                <c:ptCount val="1"/>
                <c:pt idx="0">
                  <c:v>Time (Hours / Week)</c:v>
                </c:pt>
              </c:strCache>
            </c:strRef>
          </c:tx>
          <c:overlay val="0"/>
          <c:txPr>
            <a:bodyPr/>
            <a:lstStyle/>
            <a:p>
              <a:pPr>
                <a:defRPr/>
              </a:pPr>
              <a:endParaRPr lang="en-US"/>
            </a:p>
          </c:txPr>
        </c:title>
        <c:numFmt formatCode="0" sourceLinked="0"/>
        <c:majorTickMark val="none"/>
        <c:minorTickMark val="none"/>
        <c:tickLblPos val="nextTo"/>
        <c:crossAx val="150557824"/>
        <c:crosses val="autoZero"/>
        <c:crossBetween val="between"/>
      </c:valAx>
    </c:plotArea>
    <c:legend>
      <c:legendPos val="r"/>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544" l="0.70000000000000062" r="0.70000000000000062" t="0.7500000000000054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hart>
    <c:title>
      <c:tx>
        <c:strRef>
          <c:f>Productivity!$T$257</c:f>
          <c:strCache>
            <c:ptCount val="1"/>
            <c:pt idx="0">
              <c:v>PC Systems Management</c:v>
            </c:pt>
          </c:strCache>
        </c:strRef>
      </c:tx>
      <c:overlay val="0"/>
      <c:txPr>
        <a:bodyPr/>
        <a:lstStyle/>
        <a:p>
          <a:pPr>
            <a:defRPr/>
          </a:pPr>
          <a:endParaRPr lang="en-US"/>
        </a:p>
      </c:txPr>
    </c:title>
    <c:autoTitleDeleted val="0"/>
    <c:plotArea>
      <c:layout/>
      <c:barChart>
        <c:barDir val="bar"/>
        <c:grouping val="clustered"/>
        <c:varyColors val="0"/>
        <c:ser>
          <c:idx val="0"/>
          <c:order val="0"/>
          <c:tx>
            <c:strRef>
              <c:f>Productivity!$M$203</c:f>
              <c:strCache>
                <c:ptCount val="1"/>
                <c:pt idx="0">
                  <c:v>As-Is</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Productivity!$D$218:$D$223</c:f>
              <c:strCache>
                <c:ptCount val="6"/>
                <c:pt idx="0">
                  <c:v>Support, Self-Help, &amp; Learning</c:v>
                </c:pt>
                <c:pt idx="1">
                  <c:v>Performance</c:v>
                </c:pt>
                <c:pt idx="2">
                  <c:v>Mobility &amp; Remote Connectivity</c:v>
                </c:pt>
                <c:pt idx="3">
                  <c:v>Security &amp; Privacy</c:v>
                </c:pt>
                <c:pt idx="4">
                  <c:v>System UI Navigation</c:v>
                </c:pt>
                <c:pt idx="5">
                  <c:v>Availability &amp; Reliability</c:v>
                </c:pt>
              </c:strCache>
            </c:strRef>
          </c:cat>
          <c:val>
            <c:numRef>
              <c:f>Productivity!$M$218:$M$223</c:f>
              <c:numCache>
                <c:formatCode>0.0</c:formatCode>
                <c:ptCount val="6"/>
                <c:pt idx="0">
                  <c:v>0.37418194984012704</c:v>
                </c:pt>
                <c:pt idx="1">
                  <c:v>0.2533567530719007</c:v>
                </c:pt>
                <c:pt idx="2">
                  <c:v>0.12942110190206721</c:v>
                </c:pt>
                <c:pt idx="3">
                  <c:v>0.13953850981317475</c:v>
                </c:pt>
                <c:pt idx="4">
                  <c:v>6.8598618953042576E-2</c:v>
                </c:pt>
                <c:pt idx="5">
                  <c:v>4.8330078707290558E-2</c:v>
                </c:pt>
              </c:numCache>
            </c:numRef>
          </c:val>
          <c:extLst>
            <c:ext xmlns:c16="http://schemas.microsoft.com/office/drawing/2014/chart" uri="{C3380CC4-5D6E-409C-BE32-E72D297353CC}">
              <c16:uniqueId val="{00000000-C762-43A0-A6D1-769A28C89847}"/>
            </c:ext>
          </c:extLst>
        </c:ser>
        <c:ser>
          <c:idx val="1"/>
          <c:order val="1"/>
          <c:tx>
            <c:strRef>
              <c:f>Productivity!$N$203</c:f>
              <c:strCache>
                <c:ptCount val="1"/>
                <c:pt idx="0">
                  <c:v>To-Be</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Productivity!$D$218:$D$223</c:f>
              <c:strCache>
                <c:ptCount val="6"/>
                <c:pt idx="0">
                  <c:v>Support, Self-Help, &amp; Learning</c:v>
                </c:pt>
                <c:pt idx="1">
                  <c:v>Performance</c:v>
                </c:pt>
                <c:pt idx="2">
                  <c:v>Mobility &amp; Remote Connectivity</c:v>
                </c:pt>
                <c:pt idx="3">
                  <c:v>Security &amp; Privacy</c:v>
                </c:pt>
                <c:pt idx="4">
                  <c:v>System UI Navigation</c:v>
                </c:pt>
                <c:pt idx="5">
                  <c:v>Availability &amp; Reliability</c:v>
                </c:pt>
              </c:strCache>
            </c:strRef>
          </c:cat>
          <c:val>
            <c:numRef>
              <c:f>Productivity!$N$218:$N$223</c:f>
              <c:numCache>
                <c:formatCode>0.0</c:formatCode>
                <c:ptCount val="6"/>
                <c:pt idx="0">
                  <c:v>0.36387323712203151</c:v>
                </c:pt>
                <c:pt idx="1">
                  <c:v>0.24372919645516847</c:v>
                </c:pt>
                <c:pt idx="2">
                  <c:v>0.12676149825797972</c:v>
                </c:pt>
                <c:pt idx="3">
                  <c:v>0.13500350824424656</c:v>
                </c:pt>
                <c:pt idx="4">
                  <c:v>6.8598618953042576E-2</c:v>
                </c:pt>
                <c:pt idx="5">
                  <c:v>4.5369861386469014E-2</c:v>
                </c:pt>
              </c:numCache>
            </c:numRef>
          </c:val>
          <c:extLst>
            <c:ext xmlns:c16="http://schemas.microsoft.com/office/drawing/2014/chart" uri="{C3380CC4-5D6E-409C-BE32-E72D297353CC}">
              <c16:uniqueId val="{00000001-C762-43A0-A6D1-769A28C89847}"/>
            </c:ext>
          </c:extLst>
        </c:ser>
        <c:dLbls>
          <c:showLegendKey val="0"/>
          <c:showVal val="1"/>
          <c:showCatName val="0"/>
          <c:showSerName val="0"/>
          <c:showPercent val="0"/>
          <c:showBubbleSize val="0"/>
        </c:dLbls>
        <c:gapWidth val="150"/>
        <c:axId val="150471808"/>
        <c:axId val="150472960"/>
      </c:barChart>
      <c:catAx>
        <c:axId val="150471808"/>
        <c:scaling>
          <c:orientation val="maxMin"/>
        </c:scaling>
        <c:delete val="0"/>
        <c:axPos val="l"/>
        <c:numFmt formatCode="General" sourceLinked="0"/>
        <c:majorTickMark val="none"/>
        <c:minorTickMark val="none"/>
        <c:tickLblPos val="nextTo"/>
        <c:crossAx val="150472960"/>
        <c:crosses val="autoZero"/>
        <c:auto val="1"/>
        <c:lblAlgn val="ctr"/>
        <c:lblOffset val="100"/>
        <c:noMultiLvlLbl val="0"/>
      </c:catAx>
      <c:valAx>
        <c:axId val="150472960"/>
        <c:scaling>
          <c:orientation val="minMax"/>
        </c:scaling>
        <c:delete val="0"/>
        <c:axPos val="t"/>
        <c:majorGridlines/>
        <c:title>
          <c:tx>
            <c:strRef>
              <c:f>Productivity!$T$260</c:f>
              <c:strCache>
                <c:ptCount val="1"/>
                <c:pt idx="0">
                  <c:v>Time (Hours / Week)</c:v>
                </c:pt>
              </c:strCache>
            </c:strRef>
          </c:tx>
          <c:overlay val="0"/>
          <c:txPr>
            <a:bodyPr/>
            <a:lstStyle/>
            <a:p>
              <a:pPr>
                <a:defRPr/>
              </a:pPr>
              <a:endParaRPr lang="en-US"/>
            </a:p>
          </c:txPr>
        </c:title>
        <c:numFmt formatCode="0.0" sourceLinked="0"/>
        <c:majorTickMark val="none"/>
        <c:minorTickMark val="none"/>
        <c:tickLblPos val="nextTo"/>
        <c:crossAx val="150471808"/>
        <c:crosses val="autoZero"/>
        <c:crossBetween val="between"/>
      </c:valAx>
    </c:plotArea>
    <c:legend>
      <c:legendPos val="r"/>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544" l="0.70000000000000062" r="0.70000000000000062" t="0.75000000000000544"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hart>
    <c:title>
      <c:tx>
        <c:strRef>
          <c:f>Productivity!$S$257</c:f>
          <c:strCache>
            <c:ptCount val="1"/>
            <c:pt idx="0">
              <c:v>Collaborative Computing</c:v>
            </c:pt>
          </c:strCache>
        </c:strRef>
      </c:tx>
      <c:overlay val="0"/>
      <c:txPr>
        <a:bodyPr/>
        <a:lstStyle/>
        <a:p>
          <a:pPr>
            <a:defRPr/>
          </a:pPr>
          <a:endParaRPr lang="en-US"/>
        </a:p>
      </c:txPr>
    </c:title>
    <c:autoTitleDeleted val="0"/>
    <c:plotArea>
      <c:layout/>
      <c:barChart>
        <c:barDir val="bar"/>
        <c:grouping val="clustered"/>
        <c:varyColors val="0"/>
        <c:ser>
          <c:idx val="0"/>
          <c:order val="0"/>
          <c:tx>
            <c:strRef>
              <c:f>Productivity!$M$203</c:f>
              <c:strCache>
                <c:ptCount val="1"/>
                <c:pt idx="0">
                  <c:v>As-Is</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Productivity!$D$212:$D$215</c:f>
              <c:strCache>
                <c:ptCount val="4"/>
                <c:pt idx="0">
                  <c:v>Document Collaboration</c:v>
                </c:pt>
                <c:pt idx="1">
                  <c:v>Workflow (routing)</c:v>
                </c:pt>
                <c:pt idx="2">
                  <c:v>Coordination / Project Mgmt</c:v>
                </c:pt>
                <c:pt idx="3">
                  <c:v>Other</c:v>
                </c:pt>
              </c:strCache>
            </c:strRef>
          </c:cat>
          <c:val>
            <c:numRef>
              <c:f>Productivity!$M$212:$M$215</c:f>
              <c:numCache>
                <c:formatCode>0.0</c:formatCode>
                <c:ptCount val="4"/>
                <c:pt idx="0">
                  <c:v>2.2396010568260589</c:v>
                </c:pt>
                <c:pt idx="1">
                  <c:v>0.65487742996141163</c:v>
                </c:pt>
                <c:pt idx="2">
                  <c:v>0.61164399518615409</c:v>
                </c:pt>
                <c:pt idx="3">
                  <c:v>0.35318216707633615</c:v>
                </c:pt>
              </c:numCache>
            </c:numRef>
          </c:val>
          <c:extLst>
            <c:ext xmlns:c16="http://schemas.microsoft.com/office/drawing/2014/chart" uri="{C3380CC4-5D6E-409C-BE32-E72D297353CC}">
              <c16:uniqueId val="{00000000-07E2-4C6C-9C0E-EF0350904793}"/>
            </c:ext>
          </c:extLst>
        </c:ser>
        <c:ser>
          <c:idx val="1"/>
          <c:order val="1"/>
          <c:tx>
            <c:strRef>
              <c:f>Productivity!$N$203</c:f>
              <c:strCache>
                <c:ptCount val="1"/>
                <c:pt idx="0">
                  <c:v>To-Be</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Productivity!$D$212:$D$215</c:f>
              <c:strCache>
                <c:ptCount val="4"/>
                <c:pt idx="0">
                  <c:v>Document Collaboration</c:v>
                </c:pt>
                <c:pt idx="1">
                  <c:v>Workflow (routing)</c:v>
                </c:pt>
                <c:pt idx="2">
                  <c:v>Coordination / Project Mgmt</c:v>
                </c:pt>
                <c:pt idx="3">
                  <c:v>Other</c:v>
                </c:pt>
              </c:strCache>
            </c:strRef>
          </c:cat>
          <c:val>
            <c:numRef>
              <c:f>Productivity!$N$212:$N$215</c:f>
              <c:numCache>
                <c:formatCode>0.0</c:formatCode>
                <c:ptCount val="4"/>
                <c:pt idx="0">
                  <c:v>2.2396010568260589</c:v>
                </c:pt>
                <c:pt idx="1">
                  <c:v>0.65487742996141163</c:v>
                </c:pt>
                <c:pt idx="2">
                  <c:v>0.61164399518615409</c:v>
                </c:pt>
                <c:pt idx="3">
                  <c:v>0.35318216707633615</c:v>
                </c:pt>
              </c:numCache>
            </c:numRef>
          </c:val>
          <c:extLst>
            <c:ext xmlns:c16="http://schemas.microsoft.com/office/drawing/2014/chart" uri="{C3380CC4-5D6E-409C-BE32-E72D297353CC}">
              <c16:uniqueId val="{00000001-07E2-4C6C-9C0E-EF0350904793}"/>
            </c:ext>
          </c:extLst>
        </c:ser>
        <c:dLbls>
          <c:showLegendKey val="0"/>
          <c:showVal val="1"/>
          <c:showCatName val="0"/>
          <c:showSerName val="0"/>
          <c:showPercent val="0"/>
          <c:showBubbleSize val="0"/>
        </c:dLbls>
        <c:gapWidth val="150"/>
        <c:axId val="150524288"/>
        <c:axId val="150525824"/>
      </c:barChart>
      <c:catAx>
        <c:axId val="150524288"/>
        <c:scaling>
          <c:orientation val="maxMin"/>
        </c:scaling>
        <c:delete val="0"/>
        <c:axPos val="l"/>
        <c:numFmt formatCode="General" sourceLinked="0"/>
        <c:majorTickMark val="none"/>
        <c:minorTickMark val="none"/>
        <c:tickLblPos val="nextTo"/>
        <c:crossAx val="150525824"/>
        <c:crosses val="autoZero"/>
        <c:auto val="1"/>
        <c:lblAlgn val="ctr"/>
        <c:lblOffset val="100"/>
        <c:noMultiLvlLbl val="0"/>
      </c:catAx>
      <c:valAx>
        <c:axId val="150525824"/>
        <c:scaling>
          <c:orientation val="minMax"/>
        </c:scaling>
        <c:delete val="0"/>
        <c:axPos val="t"/>
        <c:majorGridlines/>
        <c:title>
          <c:tx>
            <c:strRef>
              <c:f>Productivity!$S$260</c:f>
              <c:strCache>
                <c:ptCount val="1"/>
                <c:pt idx="0">
                  <c:v>Time (Hours / Week)</c:v>
                </c:pt>
              </c:strCache>
            </c:strRef>
          </c:tx>
          <c:overlay val="0"/>
          <c:txPr>
            <a:bodyPr/>
            <a:lstStyle/>
            <a:p>
              <a:pPr>
                <a:defRPr/>
              </a:pPr>
              <a:endParaRPr lang="en-US"/>
            </a:p>
          </c:txPr>
        </c:title>
        <c:numFmt formatCode="0" sourceLinked="0"/>
        <c:majorTickMark val="none"/>
        <c:minorTickMark val="none"/>
        <c:tickLblPos val="nextTo"/>
        <c:crossAx val="150524288"/>
        <c:crosses val="autoZero"/>
        <c:crossBetween val="between"/>
      </c:valAx>
    </c:plotArea>
    <c:legend>
      <c:legendPos val="r"/>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544" l="0.70000000000000062" r="0.70000000000000062" t="0.7500000000000054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Productivity!$S$281</c:f>
          <c:strCache>
            <c:ptCount val="1"/>
            <c:pt idx="0">
              <c:v>Business Value of Productivity Benefits</c:v>
            </c:pt>
          </c:strCache>
        </c:strRef>
      </c:tx>
      <c:overlay val="0"/>
      <c:txPr>
        <a:bodyPr/>
        <a:lstStyle/>
        <a:p>
          <a:pPr>
            <a:defRPr/>
          </a:pPr>
          <a:endParaRPr lang="en-US"/>
        </a:p>
      </c:txPr>
    </c:title>
    <c:autoTitleDeleted val="0"/>
    <c:plotArea>
      <c:layout/>
      <c:barChart>
        <c:barDir val="col"/>
        <c:grouping val="stacked"/>
        <c:varyColors val="0"/>
        <c:ser>
          <c:idx val="0"/>
          <c:order val="0"/>
          <c:tx>
            <c:strRef>
              <c:f>Productivity!$D$306</c:f>
              <c:strCache>
                <c:ptCount val="1"/>
                <c:pt idx="0">
                  <c:v>Individual Computing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Productivity!$H$306</c:f>
              <c:numCache>
                <c:formatCode>_([$$]* #,##0_);_([$$]* \(#,##0\);_([$$]* "-"_);_(@_)</c:formatCode>
                <c:ptCount val="1"/>
                <c:pt idx="0">
                  <c:v>42.931924765579652</c:v>
                </c:pt>
              </c:numCache>
            </c:numRef>
          </c:val>
          <c:extLst>
            <c:ext xmlns:c16="http://schemas.microsoft.com/office/drawing/2014/chart" uri="{C3380CC4-5D6E-409C-BE32-E72D297353CC}">
              <c16:uniqueId val="{00000000-AD0B-4E4B-AAFB-2CAD749400CE}"/>
            </c:ext>
          </c:extLst>
        </c:ser>
        <c:ser>
          <c:idx val="1"/>
          <c:order val="1"/>
          <c:tx>
            <c:strRef>
              <c:f>Productivity!$D$307</c:f>
              <c:strCache>
                <c:ptCount val="1"/>
                <c:pt idx="0">
                  <c:v>Collaborative Computing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Productivity!$H$307</c:f>
              <c:numCache>
                <c:formatCode>_([$$]* #,##0_);_([$$]* \(#,##0\);_([$$]* "-"_);_(@_)</c:formatCode>
                <c:ptCount val="1"/>
                <c:pt idx="0">
                  <c:v>0</c:v>
                </c:pt>
              </c:numCache>
            </c:numRef>
          </c:val>
          <c:extLst>
            <c:ext xmlns:c16="http://schemas.microsoft.com/office/drawing/2014/chart" uri="{C3380CC4-5D6E-409C-BE32-E72D297353CC}">
              <c16:uniqueId val="{00000001-AD0B-4E4B-AAFB-2CAD749400CE}"/>
            </c:ext>
          </c:extLst>
        </c:ser>
        <c:ser>
          <c:idx val="2"/>
          <c:order val="2"/>
          <c:tx>
            <c:strRef>
              <c:f>Productivity!$D$308</c:f>
              <c:strCache>
                <c:ptCount val="1"/>
                <c:pt idx="0">
                  <c:v>PC Systems Management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Productivity!$H$308</c:f>
              <c:numCache>
                <c:formatCode>_([$$]* #,##0_);_([$$]* \(#,##0\);_([$$]* "-"_);_(@_)</c:formatCode>
                <c:ptCount val="1"/>
                <c:pt idx="0">
                  <c:v>37.411424742342561</c:v>
                </c:pt>
              </c:numCache>
            </c:numRef>
          </c:val>
          <c:extLst>
            <c:ext xmlns:c16="http://schemas.microsoft.com/office/drawing/2014/chart" uri="{C3380CC4-5D6E-409C-BE32-E72D297353CC}">
              <c16:uniqueId val="{00000002-AD0B-4E4B-AAFB-2CAD749400CE}"/>
            </c:ext>
          </c:extLst>
        </c:ser>
        <c:dLbls>
          <c:showLegendKey val="0"/>
          <c:showVal val="1"/>
          <c:showCatName val="0"/>
          <c:showSerName val="0"/>
          <c:showPercent val="0"/>
          <c:showBubbleSize val="0"/>
        </c:dLbls>
        <c:gapWidth val="150"/>
        <c:overlap val="100"/>
        <c:axId val="150643840"/>
        <c:axId val="150645376"/>
      </c:barChart>
      <c:catAx>
        <c:axId val="150643840"/>
        <c:scaling>
          <c:orientation val="minMax"/>
        </c:scaling>
        <c:delete val="1"/>
        <c:axPos val="b"/>
        <c:numFmt formatCode="General" sourceLinked="1"/>
        <c:majorTickMark val="out"/>
        <c:minorTickMark val="none"/>
        <c:tickLblPos val="none"/>
        <c:crossAx val="150645376"/>
        <c:crosses val="autoZero"/>
        <c:auto val="1"/>
        <c:lblAlgn val="ctr"/>
        <c:lblOffset val="100"/>
        <c:noMultiLvlLbl val="0"/>
      </c:catAx>
      <c:valAx>
        <c:axId val="150645376"/>
        <c:scaling>
          <c:orientation val="minMax"/>
        </c:scaling>
        <c:delete val="0"/>
        <c:axPos val="l"/>
        <c:majorGridlines/>
        <c:title>
          <c:tx>
            <c:strRef>
              <c:f>Productivity!$S$282</c:f>
              <c:strCache>
                <c:ptCount val="1"/>
                <c:pt idx="0">
                  <c:v>Annual Productivity Benefits (per User)</c:v>
                </c:pt>
              </c:strCache>
            </c:strRef>
          </c:tx>
          <c:overlay val="0"/>
          <c:txPr>
            <a:bodyPr rot="-5400000" vert="horz"/>
            <a:lstStyle/>
            <a:p>
              <a:pPr>
                <a:defRPr/>
              </a:pPr>
              <a:endParaRPr lang="en-US"/>
            </a:p>
          </c:txPr>
        </c:title>
        <c:numFmt formatCode="_([$$]* #,##0_);_([$$]* \(#,##0\);_([$$]* &quot;-&quot;_);_(@_)" sourceLinked="1"/>
        <c:majorTickMark val="out"/>
        <c:minorTickMark val="none"/>
        <c:tickLblPos val="nextTo"/>
        <c:crossAx val="150643840"/>
        <c:crosses val="autoZero"/>
        <c:crossBetween val="between"/>
      </c:valAx>
    </c:plotArea>
    <c:legend>
      <c:legendPos val="r"/>
      <c:layout>
        <c:manualLayout>
          <c:xMode val="edge"/>
          <c:yMode val="edge"/>
          <c:x val="0.63268291674829236"/>
          <c:y val="0.23122038155118102"/>
          <c:w val="0.3230315698046925"/>
          <c:h val="0.73435291236366063"/>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799" l="0.70000000000000062" r="0.70000000000000062" t="0.75000000000000799"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Revenue!$Q$21</c:f>
          <c:strCache>
            <c:ptCount val="1"/>
            <c:pt idx="0">
              <c:v>Revenue Growth (Margin)</c:v>
            </c:pt>
          </c:strCache>
        </c:strRef>
      </c:tx>
      <c:layout>
        <c:manualLayout>
          <c:xMode val="edge"/>
          <c:yMode val="edge"/>
          <c:x val="0.19462949771865315"/>
          <c:y val="3.8609488330087774E-2"/>
        </c:manualLayout>
      </c:layout>
      <c:overlay val="0"/>
      <c:txPr>
        <a:bodyPr/>
        <a:lstStyle/>
        <a:p>
          <a:pPr>
            <a:defRPr/>
          </a:pPr>
          <a:endParaRPr lang="en-US"/>
        </a:p>
      </c:txPr>
    </c:title>
    <c:autoTitleDeleted val="0"/>
    <c:plotArea>
      <c:layout>
        <c:manualLayout>
          <c:layoutTarget val="inner"/>
          <c:xMode val="edge"/>
          <c:yMode val="edge"/>
          <c:x val="0.23925708699902362"/>
          <c:y val="0.1733218570350771"/>
          <c:w val="0.3095342554321473"/>
          <c:h val="0.68443513109248444"/>
        </c:manualLayout>
      </c:layout>
      <c:barChart>
        <c:barDir val="col"/>
        <c:grouping val="stacked"/>
        <c:varyColors val="0"/>
        <c:ser>
          <c:idx val="0"/>
          <c:order val="0"/>
          <c:tx>
            <c:strRef>
              <c:f>Revenue!$B$21</c:f>
              <c:strCache>
                <c:ptCount val="1"/>
                <c:pt idx="0">
                  <c:v>Improved Sales Effectiveness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Revenue!$H$20</c:f>
              <c:strCache>
                <c:ptCount val="1"/>
                <c:pt idx="0">
                  <c:v>Benefit 
(per User)</c:v>
                </c:pt>
              </c:strCache>
            </c:strRef>
          </c:cat>
          <c:val>
            <c:numRef>
              <c:f>Revenue!$H$21</c:f>
              <c:numCache>
                <c:formatCode>_([$$]* #,##0_);_([$$]* \(#,##0\);_([$$]* "-"_);_(@_)</c:formatCode>
                <c:ptCount val="1"/>
                <c:pt idx="0">
                  <c:v>0</c:v>
                </c:pt>
              </c:numCache>
            </c:numRef>
          </c:val>
          <c:extLst>
            <c:ext xmlns:c16="http://schemas.microsoft.com/office/drawing/2014/chart" uri="{C3380CC4-5D6E-409C-BE32-E72D297353CC}">
              <c16:uniqueId val="{00000000-CDFE-4755-8ABF-BF50C814CBAD}"/>
            </c:ext>
          </c:extLst>
        </c:ser>
        <c:ser>
          <c:idx val="1"/>
          <c:order val="1"/>
          <c:tx>
            <c:strRef>
              <c:f>Revenue!$B$22</c:f>
              <c:strCache>
                <c:ptCount val="1"/>
                <c:pt idx="0">
                  <c:v>Improved Marketing Effectiveness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Revenue!$H$20</c:f>
              <c:strCache>
                <c:ptCount val="1"/>
                <c:pt idx="0">
                  <c:v>Benefit 
(per User)</c:v>
                </c:pt>
              </c:strCache>
            </c:strRef>
          </c:cat>
          <c:val>
            <c:numRef>
              <c:f>Revenue!$H$22</c:f>
              <c:numCache>
                <c:formatCode>_([$$]* #,##0_);_([$$]* \(#,##0\);_([$$]* "-"_);_(@_)</c:formatCode>
                <c:ptCount val="1"/>
                <c:pt idx="0">
                  <c:v>0</c:v>
                </c:pt>
              </c:numCache>
            </c:numRef>
          </c:val>
          <c:extLst>
            <c:ext xmlns:c16="http://schemas.microsoft.com/office/drawing/2014/chart" uri="{C3380CC4-5D6E-409C-BE32-E72D297353CC}">
              <c16:uniqueId val="{00000001-CDFE-4755-8ABF-BF50C814CBAD}"/>
            </c:ext>
          </c:extLst>
        </c:ser>
        <c:ser>
          <c:idx val="2"/>
          <c:order val="2"/>
          <c:tx>
            <c:strRef>
              <c:f>Revenue!$B$23</c:f>
              <c:strCache>
                <c:ptCount val="1"/>
                <c:pt idx="0">
                  <c:v>Improved Customer Service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Revenue!$H$20</c:f>
              <c:strCache>
                <c:ptCount val="1"/>
                <c:pt idx="0">
                  <c:v>Benefit 
(per User)</c:v>
                </c:pt>
              </c:strCache>
            </c:strRef>
          </c:cat>
          <c:val>
            <c:numRef>
              <c:f>Revenue!$H$23</c:f>
              <c:numCache>
                <c:formatCode>_([$$]* #,##0_);_([$$]* \(#,##0\);_([$$]* "-"_);_(@_)</c:formatCode>
                <c:ptCount val="1"/>
                <c:pt idx="0">
                  <c:v>0</c:v>
                </c:pt>
              </c:numCache>
            </c:numRef>
          </c:val>
          <c:extLst>
            <c:ext xmlns:c16="http://schemas.microsoft.com/office/drawing/2014/chart" uri="{C3380CC4-5D6E-409C-BE32-E72D297353CC}">
              <c16:uniqueId val="{00000002-CDFE-4755-8ABF-BF50C814CBAD}"/>
            </c:ext>
          </c:extLst>
        </c:ser>
        <c:ser>
          <c:idx val="3"/>
          <c:order val="3"/>
          <c:tx>
            <c:strRef>
              <c:f>Revenue!$B$24</c:f>
              <c:strCache>
                <c:ptCount val="1"/>
                <c:pt idx="0">
                  <c:v>New/Expanded Channels/Geographies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Revenue!$H$20</c:f>
              <c:strCache>
                <c:ptCount val="1"/>
                <c:pt idx="0">
                  <c:v>Benefit 
(per User)</c:v>
                </c:pt>
              </c:strCache>
            </c:strRef>
          </c:cat>
          <c:val>
            <c:numRef>
              <c:f>Revenue!$H$24</c:f>
              <c:numCache>
                <c:formatCode>_([$$]* #,##0_);_([$$]* \(#,##0\);_([$$]* "-"_);_(@_)</c:formatCode>
                <c:ptCount val="1"/>
                <c:pt idx="0">
                  <c:v>0</c:v>
                </c:pt>
              </c:numCache>
            </c:numRef>
          </c:val>
          <c:extLst>
            <c:ext xmlns:c16="http://schemas.microsoft.com/office/drawing/2014/chart" uri="{C3380CC4-5D6E-409C-BE32-E72D297353CC}">
              <c16:uniqueId val="{00000003-CDFE-4755-8ABF-BF50C814CBAD}"/>
            </c:ext>
          </c:extLst>
        </c:ser>
        <c:ser>
          <c:idx val="4"/>
          <c:order val="4"/>
          <c:tx>
            <c:strRef>
              <c:f>Revenue!$B$25</c:f>
              <c:strCache>
                <c:ptCount val="1"/>
                <c:pt idx="0">
                  <c:v>New/Enhanced Products/Services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Revenue!$H$20</c:f>
              <c:strCache>
                <c:ptCount val="1"/>
                <c:pt idx="0">
                  <c:v>Benefit 
(per User)</c:v>
                </c:pt>
              </c:strCache>
            </c:strRef>
          </c:cat>
          <c:val>
            <c:numRef>
              <c:f>Revenue!$H$25</c:f>
              <c:numCache>
                <c:formatCode>_([$$]* #,##0_);_([$$]* \(#,##0\);_([$$]* "-"_);_(@_)</c:formatCode>
                <c:ptCount val="1"/>
                <c:pt idx="0">
                  <c:v>0</c:v>
                </c:pt>
              </c:numCache>
            </c:numRef>
          </c:val>
          <c:extLst>
            <c:ext xmlns:c16="http://schemas.microsoft.com/office/drawing/2014/chart" uri="{C3380CC4-5D6E-409C-BE32-E72D297353CC}">
              <c16:uniqueId val="{00000004-CDFE-4755-8ABF-BF50C814CBAD}"/>
            </c:ext>
          </c:extLst>
        </c:ser>
        <c:ser>
          <c:idx val="5"/>
          <c:order val="5"/>
          <c:tx>
            <c:strRef>
              <c:f>Revenue!$B$26</c:f>
              <c:strCache>
                <c:ptCount val="1"/>
                <c:pt idx="0">
                  <c:v>Improved Product Availability (fill rate, up-time)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Revenue!$H$20</c:f>
              <c:strCache>
                <c:ptCount val="1"/>
                <c:pt idx="0">
                  <c:v>Benefit 
(per User)</c:v>
                </c:pt>
              </c:strCache>
            </c:strRef>
          </c:cat>
          <c:val>
            <c:numRef>
              <c:f>Revenue!$H$26</c:f>
              <c:numCache>
                <c:formatCode>_([$$]* #,##0_);_([$$]* \(#,##0\);_([$$]* "-"_);_(@_)</c:formatCode>
                <c:ptCount val="1"/>
                <c:pt idx="0">
                  <c:v>27.641377545136631</c:v>
                </c:pt>
              </c:numCache>
            </c:numRef>
          </c:val>
          <c:extLst>
            <c:ext xmlns:c16="http://schemas.microsoft.com/office/drawing/2014/chart" uri="{C3380CC4-5D6E-409C-BE32-E72D297353CC}">
              <c16:uniqueId val="{00000005-CDFE-4755-8ABF-BF50C814CBAD}"/>
            </c:ext>
          </c:extLst>
        </c:ser>
        <c:ser>
          <c:idx val="6"/>
          <c:order val="6"/>
          <c:tx>
            <c:strRef>
              <c:f>Revenue!$B$27</c:f>
              <c:strCache>
                <c:ptCount val="1"/>
                <c:pt idx="0">
                  <c:v>Other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Revenue!$H$20</c:f>
              <c:strCache>
                <c:ptCount val="1"/>
                <c:pt idx="0">
                  <c:v>Benefit 
(per User)</c:v>
                </c:pt>
              </c:strCache>
            </c:strRef>
          </c:cat>
          <c:val>
            <c:numRef>
              <c:f>Revenue!$H$27</c:f>
              <c:numCache>
                <c:formatCode>_([$$]* #,##0_);_([$$]* \(#,##0\);_([$$]* "-"_);_(@_)</c:formatCode>
                <c:ptCount val="1"/>
                <c:pt idx="0">
                  <c:v>0</c:v>
                </c:pt>
              </c:numCache>
            </c:numRef>
          </c:val>
          <c:extLst>
            <c:ext xmlns:c16="http://schemas.microsoft.com/office/drawing/2014/chart" uri="{C3380CC4-5D6E-409C-BE32-E72D297353CC}">
              <c16:uniqueId val="{00000006-CDFE-4755-8ABF-BF50C814CBAD}"/>
            </c:ext>
          </c:extLst>
        </c:ser>
        <c:dLbls>
          <c:showLegendKey val="0"/>
          <c:showVal val="1"/>
          <c:showCatName val="0"/>
          <c:showSerName val="0"/>
          <c:showPercent val="0"/>
          <c:showBubbleSize val="0"/>
        </c:dLbls>
        <c:gapWidth val="150"/>
        <c:overlap val="100"/>
        <c:axId val="143232384"/>
        <c:axId val="143258752"/>
      </c:barChart>
      <c:catAx>
        <c:axId val="143232384"/>
        <c:scaling>
          <c:orientation val="minMax"/>
        </c:scaling>
        <c:delete val="0"/>
        <c:axPos val="b"/>
        <c:numFmt formatCode="General" sourceLinked="0"/>
        <c:majorTickMark val="out"/>
        <c:minorTickMark val="none"/>
        <c:tickLblPos val="nextTo"/>
        <c:txPr>
          <a:bodyPr rot="0" vert="horz"/>
          <a:lstStyle/>
          <a:p>
            <a:pPr>
              <a:defRPr/>
            </a:pPr>
            <a:endParaRPr lang="en-US"/>
          </a:p>
        </c:txPr>
        <c:crossAx val="143258752"/>
        <c:crosses val="autoZero"/>
        <c:auto val="1"/>
        <c:lblAlgn val="ctr"/>
        <c:lblOffset val="100"/>
        <c:tickLblSkip val="1"/>
        <c:tickMarkSkip val="1"/>
        <c:noMultiLvlLbl val="1"/>
      </c:catAx>
      <c:valAx>
        <c:axId val="143258752"/>
        <c:scaling>
          <c:orientation val="minMax"/>
        </c:scaling>
        <c:delete val="0"/>
        <c:axPos val="l"/>
        <c:majorGridlines/>
        <c:title>
          <c:tx>
            <c:strRef>
              <c:f>Revenue!$Q$22</c:f>
              <c:strCache>
                <c:ptCount val="1"/>
                <c:pt idx="0">
                  <c:v>Annual Benefit per PC</c:v>
                </c:pt>
              </c:strCache>
            </c:strRef>
          </c:tx>
          <c:layout>
            <c:manualLayout>
              <c:xMode val="edge"/>
              <c:yMode val="edge"/>
              <c:x val="2.067633651056815E-2"/>
              <c:y val="0.27236868670768988"/>
            </c:manualLayout>
          </c:layout>
          <c:overlay val="0"/>
          <c:txPr>
            <a:bodyPr/>
            <a:lstStyle/>
            <a:p>
              <a:pPr>
                <a:defRPr/>
              </a:pPr>
              <a:endParaRPr lang="en-US"/>
            </a:p>
          </c:txPr>
        </c:title>
        <c:numFmt formatCode="_([$$]* #,##0_);_([$$]* \(#,##0\);_([$$]* &quot;-&quot;_);_(@_)" sourceLinked="1"/>
        <c:majorTickMark val="out"/>
        <c:minorTickMark val="none"/>
        <c:tickLblPos val="nextTo"/>
        <c:txPr>
          <a:bodyPr rot="0" vert="horz"/>
          <a:lstStyle/>
          <a:p>
            <a:pPr>
              <a:defRPr/>
            </a:pPr>
            <a:endParaRPr lang="en-US"/>
          </a:p>
        </c:txPr>
        <c:crossAx val="143232384"/>
        <c:crossesAt val="1"/>
        <c:crossBetween val="between"/>
      </c:valAx>
    </c:plotArea>
    <c:legend>
      <c:legendPos val="t"/>
      <c:layout>
        <c:manualLayout>
          <c:xMode val="edge"/>
          <c:yMode val="edge"/>
          <c:x val="0.57930266611410464"/>
          <c:y val="0.16774650132296329"/>
          <c:w val="0.37859207072800138"/>
          <c:h val="0.72741113838502969"/>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977" l="0.70000000000000062" r="0.70000000000000062" t="0.75000000000000977" header="0.30000000000000032" footer="0.30000000000000032"/>
    <c:pageSetup paperSize="0" orientation="landscape" horizontalDpi="0" verticalDpi="0" copies="0"/>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hart>
    <c:title>
      <c:tx>
        <c:strRef>
          <c:f>KPIs!$N$46</c:f>
          <c:strCache>
            <c:ptCount val="1"/>
            <c:pt idx="0">
              <c:v>KPI Performance Comparison</c:v>
            </c:pt>
          </c:strCache>
        </c:strRef>
      </c:tx>
      <c:overlay val="0"/>
      <c:txPr>
        <a:bodyPr/>
        <a:lstStyle/>
        <a:p>
          <a:pPr>
            <a:defRPr/>
          </a:pPr>
          <a:endParaRPr lang="en-US"/>
        </a:p>
      </c:txPr>
    </c:title>
    <c:autoTitleDeleted val="0"/>
    <c:plotArea>
      <c:layout>
        <c:manualLayout>
          <c:layoutTarget val="inner"/>
          <c:xMode val="edge"/>
          <c:yMode val="edge"/>
          <c:x val="0.18760882162456963"/>
          <c:y val="0.16847871493540784"/>
          <c:w val="0.75746512205454863"/>
          <c:h val="0.62206521482112065"/>
        </c:manualLayout>
      </c:layout>
      <c:barChart>
        <c:barDir val="col"/>
        <c:grouping val="clustered"/>
        <c:varyColors val="0"/>
        <c:ser>
          <c:idx val="0"/>
          <c:order val="0"/>
          <c:tx>
            <c:strRef>
              <c:f>KPIs!$F$40</c:f>
              <c:strCache>
                <c:ptCount val="1"/>
                <c:pt idx="0">
                  <c:v>As-Is</c:v>
                </c:pt>
              </c:strCache>
            </c:strRef>
          </c:tx>
          <c:invertIfNegative val="0"/>
          <c:dLbls>
            <c:spPr>
              <a:noFill/>
              <a:ln>
                <a:noFill/>
              </a:ln>
              <a:effectLst/>
            </c:spPr>
            <c:txPr>
              <a:bodyPr/>
              <a:lstStyle/>
              <a:p>
                <a:pPr>
                  <a:defRPr sz="8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KPIs!$B$41:$E$44</c:f>
              <c:strCache>
                <c:ptCount val="4"/>
                <c:pt idx="0">
                  <c:v>Sales/Marketing Performance</c:v>
                </c:pt>
                <c:pt idx="1">
                  <c:v>Business Management Effectiveness</c:v>
                </c:pt>
                <c:pt idx="2">
                  <c:v>Supply/Operations Performance</c:v>
                </c:pt>
                <c:pt idx="3">
                  <c:v>Technology Effectiveness</c:v>
                </c:pt>
              </c:strCache>
            </c:strRef>
          </c:cat>
          <c:val>
            <c:numRef>
              <c:f>KPIs!$F$41:$F$44</c:f>
              <c:numCache>
                <c:formatCode>0%</c:formatCode>
                <c:ptCount val="4"/>
                <c:pt idx="0">
                  <c:v>0.3</c:v>
                </c:pt>
                <c:pt idx="1">
                  <c:v>0.3</c:v>
                </c:pt>
                <c:pt idx="2">
                  <c:v>0.3</c:v>
                </c:pt>
                <c:pt idx="3">
                  <c:v>0.3</c:v>
                </c:pt>
              </c:numCache>
            </c:numRef>
          </c:val>
          <c:extLst>
            <c:ext xmlns:c16="http://schemas.microsoft.com/office/drawing/2014/chart" uri="{C3380CC4-5D6E-409C-BE32-E72D297353CC}">
              <c16:uniqueId val="{00000000-13DC-4213-A01E-DDD06CF36BDE}"/>
            </c:ext>
          </c:extLst>
        </c:ser>
        <c:ser>
          <c:idx val="1"/>
          <c:order val="1"/>
          <c:tx>
            <c:strRef>
              <c:f>KPIs!$G$40</c:f>
              <c:strCache>
                <c:ptCount val="1"/>
                <c:pt idx="0">
                  <c:v>To-Be</c:v>
                </c:pt>
              </c:strCache>
            </c:strRef>
          </c:tx>
          <c:invertIfNegative val="0"/>
          <c:dLbls>
            <c:spPr>
              <a:noFill/>
              <a:ln>
                <a:noFill/>
              </a:ln>
              <a:effectLst/>
            </c:spPr>
            <c:txPr>
              <a:bodyPr/>
              <a:lstStyle/>
              <a:p>
                <a:pPr>
                  <a:defRPr sz="8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KPIs!$B$41:$E$44</c:f>
              <c:strCache>
                <c:ptCount val="4"/>
                <c:pt idx="0">
                  <c:v>Sales/Marketing Performance</c:v>
                </c:pt>
                <c:pt idx="1">
                  <c:v>Business Management Effectiveness</c:v>
                </c:pt>
                <c:pt idx="2">
                  <c:v>Supply/Operations Performance</c:v>
                </c:pt>
                <c:pt idx="3">
                  <c:v>Technology Effectiveness</c:v>
                </c:pt>
              </c:strCache>
            </c:strRef>
          </c:cat>
          <c:val>
            <c:numRef>
              <c:f>KPIs!$G$41:$G$44</c:f>
              <c:numCache>
                <c:formatCode>0%</c:formatCode>
                <c:ptCount val="4"/>
                <c:pt idx="0">
                  <c:v>0.3</c:v>
                </c:pt>
                <c:pt idx="1">
                  <c:v>0.3</c:v>
                </c:pt>
                <c:pt idx="2">
                  <c:v>0.3</c:v>
                </c:pt>
                <c:pt idx="3">
                  <c:v>0.36149999999999999</c:v>
                </c:pt>
              </c:numCache>
            </c:numRef>
          </c:val>
          <c:extLst>
            <c:ext xmlns:c16="http://schemas.microsoft.com/office/drawing/2014/chart" uri="{C3380CC4-5D6E-409C-BE32-E72D297353CC}">
              <c16:uniqueId val="{00000001-13DC-4213-A01E-DDD06CF36BDE}"/>
            </c:ext>
          </c:extLst>
        </c:ser>
        <c:dLbls>
          <c:showLegendKey val="0"/>
          <c:showVal val="1"/>
          <c:showCatName val="0"/>
          <c:showSerName val="0"/>
          <c:showPercent val="0"/>
          <c:showBubbleSize val="0"/>
        </c:dLbls>
        <c:gapWidth val="150"/>
        <c:axId val="136724864"/>
        <c:axId val="136726400"/>
      </c:barChart>
      <c:catAx>
        <c:axId val="136724864"/>
        <c:scaling>
          <c:orientation val="minMax"/>
        </c:scaling>
        <c:delete val="0"/>
        <c:axPos val="b"/>
        <c:numFmt formatCode="General" sourceLinked="0"/>
        <c:majorTickMark val="none"/>
        <c:minorTickMark val="none"/>
        <c:tickLblPos val="nextTo"/>
        <c:txPr>
          <a:bodyPr rot="0"/>
          <a:lstStyle/>
          <a:p>
            <a:pPr>
              <a:defRPr/>
            </a:pPr>
            <a:endParaRPr lang="en-US"/>
          </a:p>
        </c:txPr>
        <c:crossAx val="136726400"/>
        <c:crosses val="autoZero"/>
        <c:auto val="1"/>
        <c:lblAlgn val="ctr"/>
        <c:lblOffset val="100"/>
        <c:noMultiLvlLbl val="0"/>
      </c:catAx>
      <c:valAx>
        <c:axId val="136726400"/>
        <c:scaling>
          <c:orientation val="minMax"/>
          <c:max val="1"/>
          <c:min val="0"/>
        </c:scaling>
        <c:delete val="0"/>
        <c:axPos val="l"/>
        <c:majorGridlines/>
        <c:title>
          <c:tx>
            <c:strRef>
              <c:f>KPIs!$N$47</c:f>
              <c:strCache>
                <c:ptCount val="1"/>
                <c:pt idx="0">
                  <c:v>Performance Percentile</c:v>
                </c:pt>
              </c:strCache>
            </c:strRef>
          </c:tx>
          <c:overlay val="0"/>
          <c:txPr>
            <a:bodyPr rot="-5400000" vert="horz"/>
            <a:lstStyle/>
            <a:p>
              <a:pPr>
                <a:defRPr/>
              </a:pPr>
              <a:endParaRPr lang="en-US"/>
            </a:p>
          </c:txPr>
        </c:title>
        <c:numFmt formatCode="0%" sourceLinked="0"/>
        <c:majorTickMark val="none"/>
        <c:minorTickMark val="none"/>
        <c:tickLblPos val="nextTo"/>
        <c:crossAx val="136724864"/>
        <c:crosses val="autoZero"/>
        <c:crossBetween val="between"/>
      </c:valAx>
    </c:plotArea>
    <c:legend>
      <c:legendPos val="r"/>
      <c:layout>
        <c:manualLayout>
          <c:xMode val="edge"/>
          <c:yMode val="edge"/>
          <c:x val="0.88222751376857445"/>
          <c:y val="1.3131556753603987E-2"/>
          <c:w val="0.10903403308352749"/>
          <c:h val="0.15451987420491359"/>
        </c:manualLayout>
      </c:layout>
      <c:overlay val="0"/>
      <c:txPr>
        <a:bodyPr/>
        <a:lstStyle/>
        <a:p>
          <a:pPr>
            <a:defRPr sz="1100"/>
          </a:pPr>
          <a:endParaRPr lang="en-US"/>
        </a:p>
      </c:txPr>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333" l="0.70000000000000062" r="0.70000000000000062" t="0.75000000000000333" header="0.30000000000000032" footer="0.30000000000000032"/>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KPIs!$C$102</c:f>
          <c:strCache>
            <c:ptCount val="1"/>
            <c:pt idx="0">
              <c:v>Relative KPI Performance:  Maturity Level</c:v>
            </c:pt>
          </c:strCache>
        </c:strRef>
      </c:tx>
      <c:overlay val="0"/>
      <c:txPr>
        <a:bodyPr/>
        <a:lstStyle/>
        <a:p>
          <a:pPr>
            <a:defRPr sz="1600"/>
          </a:pPr>
          <a:endParaRPr lang="en-US"/>
        </a:p>
      </c:txPr>
    </c:title>
    <c:autoTitleDeleted val="0"/>
    <c:plotArea>
      <c:layout>
        <c:manualLayout>
          <c:layoutTarget val="inner"/>
          <c:xMode val="edge"/>
          <c:yMode val="edge"/>
          <c:x val="0.15364829396325491"/>
          <c:y val="0.17055517806467085"/>
          <c:w val="0.62044325686725987"/>
          <c:h val="0.66374755186059786"/>
        </c:manualLayout>
      </c:layout>
      <c:scatterChart>
        <c:scatterStyle val="lineMarker"/>
        <c:varyColors val="0"/>
        <c:ser>
          <c:idx val="0"/>
          <c:order val="0"/>
          <c:tx>
            <c:strRef>
              <c:f>KPIs!$A$104</c:f>
              <c:strCache>
                <c:ptCount val="1"/>
                <c:pt idx="0">
                  <c:v>Industry Performance</c:v>
                </c:pt>
              </c:strCache>
            </c:strRef>
          </c:tx>
          <c:spPr>
            <a:ln w="28575">
              <a:gradFill>
                <a:gsLst>
                  <a:gs pos="100000">
                    <a:srgbClr val="C00000"/>
                  </a:gs>
                  <a:gs pos="0">
                    <a:srgbClr val="9BBB59">
                      <a:lumMod val="50000"/>
                    </a:srgbClr>
                  </a:gs>
                </a:gsLst>
                <a:lin ang="5400000" scaled="0"/>
              </a:gradFill>
              <a:tailEnd type="stealth" w="lg" len="lg"/>
            </a:ln>
            <a:effectLst>
              <a:outerShdw blurRad="50800" dist="38100" dir="2700000" algn="tl" rotWithShape="0">
                <a:prstClr val="black">
                  <a:alpha val="40000"/>
                </a:prstClr>
              </a:outerShdw>
            </a:effectLst>
          </c:spPr>
          <c:marker>
            <c:spPr>
              <a:ln w="28575">
                <a:tailEnd type="stealth"/>
              </a:ln>
              <a:effectLst>
                <a:outerShdw blurRad="50800" dist="38100" dir="2700000" algn="tl" rotWithShape="0">
                  <a:prstClr val="black">
                    <a:alpha val="40000"/>
                  </a:prstClr>
                </a:outerShdw>
              </a:effectLst>
            </c:spPr>
          </c:marker>
          <c:dLbls>
            <c:dLbl>
              <c:idx val="0"/>
              <c:tx>
                <c:strRef>
                  <c:f>KPIs!$B$105</c:f>
                  <c:strCache>
                    <c:ptCount val="1"/>
                    <c:pt idx="0">
                      <c:v>Late Adopter</c:v>
                    </c:pt>
                  </c:strCache>
                </c:strRef>
              </c:tx>
              <c:dLblPos val="r"/>
              <c:showLegendKey val="0"/>
              <c:showVal val="0"/>
              <c:showCatName val="0"/>
              <c:showSerName val="1"/>
              <c:showPercent val="0"/>
              <c:showBubbleSize val="0"/>
              <c:extLst>
                <c:ext xmlns:c15="http://schemas.microsoft.com/office/drawing/2012/chart" uri="{CE6537A1-D6FC-4f65-9D91-7224C49458BB}">
                  <c15:dlblFieldTable>
                    <c15:dlblFTEntry>
                      <c15:txfldGUID>{50C608BD-764F-40C0-8A94-8D59CD80723C}</c15:txfldGUID>
                      <c15:f>KPIs!$B$105</c15:f>
                      <c15:dlblFieldTableCache>
                        <c:ptCount val="1"/>
                        <c:pt idx="0">
                          <c:v>Late Adopter</c:v>
                        </c:pt>
                      </c15:dlblFieldTableCache>
                    </c15:dlblFTEntry>
                  </c15:dlblFieldTable>
                  <c15:showDataLabelsRange val="0"/>
                </c:ext>
                <c:ext xmlns:c16="http://schemas.microsoft.com/office/drawing/2014/chart" uri="{C3380CC4-5D6E-409C-BE32-E72D297353CC}">
                  <c16:uniqueId val="{00000000-E817-4E63-BF51-FAD10C75D157}"/>
                </c:ext>
              </c:extLst>
            </c:dLbl>
            <c:dLbl>
              <c:idx val="1"/>
              <c:tx>
                <c:strRef>
                  <c:f>KPIs!$B$106</c:f>
                  <c:strCache>
                    <c:ptCount val="1"/>
                    <c:pt idx="0">
                      <c:v>World Class</c:v>
                    </c:pt>
                  </c:strCache>
                </c:strRef>
              </c:tx>
              <c:showLegendKey val="0"/>
              <c:showVal val="0"/>
              <c:showCatName val="0"/>
              <c:showSerName val="1"/>
              <c:showPercent val="0"/>
              <c:showBubbleSize val="0"/>
              <c:extLst>
                <c:ext xmlns:c15="http://schemas.microsoft.com/office/drawing/2012/chart" uri="{CE6537A1-D6FC-4f65-9D91-7224C49458BB}">
                  <c15:dlblFieldTable>
                    <c15:dlblFTEntry>
                      <c15:txfldGUID>{DD4B09D2-6B6A-403E-8214-8BFC56C04268}</c15:txfldGUID>
                      <c15:f>KPIs!$B$106</c15:f>
                      <c15:dlblFieldTableCache>
                        <c:ptCount val="1"/>
                        <c:pt idx="0">
                          <c:v>World Class</c:v>
                        </c:pt>
                      </c15:dlblFieldTableCache>
                    </c15:dlblFTEntry>
                  </c15:dlblFieldTable>
                  <c15:showDataLabelsRange val="0"/>
                </c:ext>
                <c:ext xmlns:c16="http://schemas.microsoft.com/office/drawing/2014/chart" uri="{C3380CC4-5D6E-409C-BE32-E72D297353CC}">
                  <c16:uniqueId val="{00000001-E817-4E63-BF51-FAD10C75D157}"/>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KPIs!$C$105:$C$106</c:f>
              <c:numCache>
                <c:formatCode>0.00</c:formatCode>
                <c:ptCount val="2"/>
                <c:pt idx="0">
                  <c:v>0.1</c:v>
                </c:pt>
                <c:pt idx="1">
                  <c:v>0.9</c:v>
                </c:pt>
              </c:numCache>
            </c:numRef>
          </c:xVal>
          <c:yVal>
            <c:numRef>
              <c:f>KPIs!$D$105:$D$106</c:f>
              <c:numCache>
                <c:formatCode>0%</c:formatCode>
                <c:ptCount val="2"/>
                <c:pt idx="0">
                  <c:v>0.1</c:v>
                </c:pt>
                <c:pt idx="1">
                  <c:v>0.9</c:v>
                </c:pt>
              </c:numCache>
            </c:numRef>
          </c:yVal>
          <c:smooth val="0"/>
          <c:extLst>
            <c:ext xmlns:c16="http://schemas.microsoft.com/office/drawing/2014/chart" uri="{C3380CC4-5D6E-409C-BE32-E72D297353CC}">
              <c16:uniqueId val="{00000002-E817-4E63-BF51-FAD10C75D157}"/>
            </c:ext>
          </c:extLst>
        </c:ser>
        <c:ser>
          <c:idx val="1"/>
          <c:order val="1"/>
          <c:tx>
            <c:strRef>
              <c:f>KPIs!$A$107</c:f>
              <c:strCache>
                <c:ptCount val="1"/>
                <c:pt idx="0">
                  <c:v>Organization Performance</c:v>
                </c:pt>
              </c:strCache>
            </c:strRef>
          </c:tx>
          <c:spPr>
            <a:ln w="57150">
              <a:solidFill>
                <a:srgbClr val="000099"/>
              </a:solidFill>
              <a:prstDash val="solid"/>
              <a:tailEnd type="stealth" w="lg" len="lg"/>
            </a:ln>
            <a:effectLst>
              <a:outerShdw blurRad="50800" dist="38100" dir="2700000" algn="tl" rotWithShape="0">
                <a:prstClr val="black">
                  <a:alpha val="40000"/>
                </a:prstClr>
              </a:outerShdw>
            </a:effectLst>
          </c:spPr>
          <c:marker>
            <c:symbol val="square"/>
            <c:size val="9"/>
            <c:spPr>
              <a:solidFill>
                <a:srgbClr val="000099"/>
              </a:solidFill>
              <a:ln w="57150">
                <a:solidFill>
                  <a:srgbClr val="000099"/>
                </a:solidFill>
              </a:ln>
              <a:effectLst>
                <a:outerShdw blurRad="50800" dist="38100" dir="2700000" algn="tl" rotWithShape="0">
                  <a:prstClr val="black">
                    <a:alpha val="40000"/>
                  </a:prstClr>
                </a:outerShdw>
              </a:effectLst>
            </c:spPr>
          </c:marker>
          <c:dLbls>
            <c:dLbl>
              <c:idx val="0"/>
              <c:tx>
                <c:strRef>
                  <c:f>KPIs!$B$108</c:f>
                  <c:strCache>
                    <c:ptCount val="1"/>
                    <c:pt idx="0">
                      <c:v>As-Is</c:v>
                    </c:pt>
                  </c:strCache>
                </c:strRef>
              </c:tx>
              <c:dLblPos val="t"/>
              <c:showLegendKey val="0"/>
              <c:showVal val="0"/>
              <c:showCatName val="0"/>
              <c:showSerName val="1"/>
              <c:showPercent val="0"/>
              <c:showBubbleSize val="0"/>
              <c:extLst>
                <c:ext xmlns:c15="http://schemas.microsoft.com/office/drawing/2012/chart" uri="{CE6537A1-D6FC-4f65-9D91-7224C49458BB}">
                  <c15:dlblFieldTable>
                    <c15:dlblFTEntry>
                      <c15:txfldGUID>{C6E74816-2C6E-470E-A955-53DD367AA70A}</c15:txfldGUID>
                      <c15:f>KPIs!$B$108</c15:f>
                      <c15:dlblFieldTableCache>
                        <c:ptCount val="1"/>
                        <c:pt idx="0">
                          <c:v>As-Is</c:v>
                        </c:pt>
                      </c15:dlblFieldTableCache>
                    </c15:dlblFTEntry>
                  </c15:dlblFieldTable>
                  <c15:showDataLabelsRange val="0"/>
                </c:ext>
                <c:ext xmlns:c16="http://schemas.microsoft.com/office/drawing/2014/chart" uri="{C3380CC4-5D6E-409C-BE32-E72D297353CC}">
                  <c16:uniqueId val="{00000003-E817-4E63-BF51-FAD10C75D157}"/>
                </c:ext>
              </c:extLst>
            </c:dLbl>
            <c:dLbl>
              <c:idx val="1"/>
              <c:tx>
                <c:strRef>
                  <c:f>KPIs!$B$109</c:f>
                  <c:strCache>
                    <c:ptCount val="1"/>
                    <c:pt idx="0">
                      <c:v>To-Be</c:v>
                    </c:pt>
                  </c:strCache>
                </c:strRef>
              </c:tx>
              <c:dLblPos val="t"/>
              <c:showLegendKey val="0"/>
              <c:showVal val="0"/>
              <c:showCatName val="0"/>
              <c:showSerName val="1"/>
              <c:showPercent val="0"/>
              <c:showBubbleSize val="0"/>
              <c:extLst>
                <c:ext xmlns:c15="http://schemas.microsoft.com/office/drawing/2012/chart" uri="{CE6537A1-D6FC-4f65-9D91-7224C49458BB}">
                  <c15:dlblFieldTable>
                    <c15:dlblFTEntry>
                      <c15:txfldGUID>{0D6C0101-7C64-4D63-87C6-841CE5674412}</c15:txfldGUID>
                      <c15:f>KPIs!$B$109</c15:f>
                      <c15:dlblFieldTableCache>
                        <c:ptCount val="1"/>
                        <c:pt idx="0">
                          <c:v>To-Be</c:v>
                        </c:pt>
                      </c15:dlblFieldTableCache>
                    </c15:dlblFTEntry>
                  </c15:dlblFieldTable>
                  <c15:showDataLabelsRange val="0"/>
                </c:ext>
                <c:ext xmlns:c16="http://schemas.microsoft.com/office/drawing/2014/chart" uri="{C3380CC4-5D6E-409C-BE32-E72D297353CC}">
                  <c16:uniqueId val="{00000004-E817-4E63-BF51-FAD10C75D157}"/>
                </c:ext>
              </c:extLst>
            </c:dLbl>
            <c:spPr>
              <a:noFill/>
              <a:ln>
                <a:noFill/>
              </a:ln>
              <a:effectLst/>
            </c:spPr>
            <c:txPr>
              <a:bodyPr/>
              <a:lstStyle/>
              <a:p>
                <a:pPr>
                  <a:defRPr b="1"/>
                </a:pPr>
                <a:endParaRPr lang="en-US"/>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KPIs!$C$108:$C$109</c:f>
              <c:numCache>
                <c:formatCode>0.00</c:formatCode>
                <c:ptCount val="2"/>
                <c:pt idx="0">
                  <c:v>0.3</c:v>
                </c:pt>
                <c:pt idx="1">
                  <c:v>0.36299999999999999</c:v>
                </c:pt>
              </c:numCache>
            </c:numRef>
          </c:xVal>
          <c:yVal>
            <c:numRef>
              <c:f>KPIs!$D$108:$D$109</c:f>
              <c:numCache>
                <c:formatCode>0.00</c:formatCode>
                <c:ptCount val="2"/>
                <c:pt idx="0">
                  <c:v>0.3</c:v>
                </c:pt>
                <c:pt idx="1">
                  <c:v>0.36299999999999999</c:v>
                </c:pt>
              </c:numCache>
            </c:numRef>
          </c:yVal>
          <c:smooth val="0"/>
          <c:extLst>
            <c:ext xmlns:c16="http://schemas.microsoft.com/office/drawing/2014/chart" uri="{C3380CC4-5D6E-409C-BE32-E72D297353CC}">
              <c16:uniqueId val="{00000005-E817-4E63-BF51-FAD10C75D157}"/>
            </c:ext>
          </c:extLst>
        </c:ser>
        <c:dLbls>
          <c:showLegendKey val="0"/>
          <c:showVal val="0"/>
          <c:showCatName val="0"/>
          <c:showSerName val="0"/>
          <c:showPercent val="0"/>
          <c:showBubbleSize val="0"/>
        </c:dLbls>
        <c:axId val="143278848"/>
        <c:axId val="143280768"/>
      </c:scatterChart>
      <c:valAx>
        <c:axId val="143278848"/>
        <c:scaling>
          <c:orientation val="minMax"/>
        </c:scaling>
        <c:delete val="0"/>
        <c:axPos val="b"/>
        <c:majorGridlines/>
        <c:title>
          <c:tx>
            <c:strRef>
              <c:f>KPIs!$C$103</c:f>
              <c:strCache>
                <c:ptCount val="1"/>
                <c:pt idx="0">
                  <c:v>KPI:  Best practice adoption %</c:v>
                </c:pt>
              </c:strCache>
            </c:strRef>
          </c:tx>
          <c:overlay val="0"/>
        </c:title>
        <c:numFmt formatCode="0.00" sourceLinked="1"/>
        <c:majorTickMark val="out"/>
        <c:minorTickMark val="none"/>
        <c:tickLblPos val="nextTo"/>
        <c:crossAx val="143280768"/>
        <c:crosses val="autoZero"/>
        <c:crossBetween val="midCat"/>
      </c:valAx>
      <c:valAx>
        <c:axId val="143280768"/>
        <c:scaling>
          <c:orientation val="minMax"/>
        </c:scaling>
        <c:delete val="0"/>
        <c:axPos val="l"/>
        <c:majorGridlines/>
        <c:title>
          <c:tx>
            <c:strRef>
              <c:f>KPIs!$D$103</c:f>
              <c:strCache>
                <c:ptCount val="1"/>
                <c:pt idx="0">
                  <c:v>Industry Percentile</c:v>
                </c:pt>
              </c:strCache>
            </c:strRef>
          </c:tx>
          <c:overlay val="0"/>
          <c:txPr>
            <a:bodyPr rot="-5400000" vert="horz"/>
            <a:lstStyle/>
            <a:p>
              <a:pPr>
                <a:defRPr/>
              </a:pPr>
              <a:endParaRPr lang="en-US"/>
            </a:p>
          </c:txPr>
        </c:title>
        <c:numFmt formatCode="0%" sourceLinked="1"/>
        <c:majorTickMark val="out"/>
        <c:minorTickMark val="none"/>
        <c:tickLblPos val="nextTo"/>
        <c:crossAx val="143278848"/>
        <c:crosses val="autoZero"/>
        <c:crossBetween val="midCat"/>
      </c:valAx>
    </c:plotArea>
    <c:legend>
      <c:legendPos val="r"/>
      <c:layout>
        <c:manualLayout>
          <c:xMode val="edge"/>
          <c:yMode val="edge"/>
          <c:x val="0.79946819610511644"/>
          <c:y val="0.33589751788640704"/>
          <c:w val="0.18609144227341978"/>
          <c:h val="0.40569460543320418"/>
        </c:manualLayout>
      </c:layout>
      <c:overlay val="0"/>
    </c:legend>
    <c:plotVisOnly val="0"/>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866" l="0.70000000000000062" r="0.70000000000000062" t="0.75000000000000866"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ROI!$P$9</c:f>
          <c:strCache>
            <c:ptCount val="1"/>
            <c:pt idx="0">
              <c:v>Total Costs Vs Benefits
(per User)</c:v>
            </c:pt>
          </c:strCache>
        </c:strRef>
      </c:tx>
      <c:overlay val="0"/>
      <c:txPr>
        <a:bodyPr/>
        <a:lstStyle/>
        <a:p>
          <a:pPr>
            <a:defRPr sz="1400"/>
          </a:pPr>
          <a:endParaRPr lang="en-US"/>
        </a:p>
      </c:txPr>
    </c:title>
    <c:autoTitleDeleted val="0"/>
    <c:plotArea>
      <c:layout>
        <c:manualLayout>
          <c:layoutTarget val="inner"/>
          <c:xMode val="edge"/>
          <c:yMode val="edge"/>
          <c:x val="0.25599187198374451"/>
          <c:y val="0.28849057504175685"/>
          <c:w val="0.67635706826969311"/>
          <c:h val="0.55695681221665472"/>
        </c:manualLayout>
      </c:layout>
      <c:barChart>
        <c:barDir val="col"/>
        <c:grouping val="stacked"/>
        <c:varyColors val="0"/>
        <c:ser>
          <c:idx val="0"/>
          <c:order val="0"/>
          <c:spPr>
            <a:solidFill>
              <a:schemeClr val="accent2">
                <a:lumMod val="75000"/>
              </a:schemeClr>
            </a:solidFill>
          </c:spPr>
          <c:invertIfNegative val="0"/>
          <c:dPt>
            <c:idx val="1"/>
            <c:invertIfNegative val="0"/>
            <c:bubble3D val="0"/>
            <c:spPr>
              <a:solidFill>
                <a:schemeClr val="accent3">
                  <a:lumMod val="75000"/>
                </a:schemeClr>
              </a:solidFill>
            </c:spPr>
            <c:extLst>
              <c:ext xmlns:c16="http://schemas.microsoft.com/office/drawing/2014/chart" uri="{C3380CC4-5D6E-409C-BE32-E72D297353CC}">
                <c16:uniqueId val="{00000001-A7A6-4ED5-A788-F2AD58EB670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ROI!$D$8:$D$9</c:f>
              <c:strCache>
                <c:ptCount val="2"/>
                <c:pt idx="0">
                  <c:v>Costs</c:v>
                </c:pt>
                <c:pt idx="1">
                  <c:v>Benefits</c:v>
                </c:pt>
              </c:strCache>
            </c:strRef>
          </c:cat>
          <c:val>
            <c:numRef>
              <c:f>ROI!$E$8:$E$9</c:f>
              <c:numCache>
                <c:formatCode>_([$$]* #,##0_);_([$$]* \(#,##0\);_([$$]* "-"_);_(@_)</c:formatCode>
                <c:ptCount val="2"/>
                <c:pt idx="0">
                  <c:v>149.2571270096926</c:v>
                </c:pt>
                <c:pt idx="1">
                  <c:v>1057.058692141946</c:v>
                </c:pt>
              </c:numCache>
            </c:numRef>
          </c:val>
          <c:extLst>
            <c:ext xmlns:c16="http://schemas.microsoft.com/office/drawing/2014/chart" uri="{C3380CC4-5D6E-409C-BE32-E72D297353CC}">
              <c16:uniqueId val="{00000002-A7A6-4ED5-A788-F2AD58EB6705}"/>
            </c:ext>
          </c:extLst>
        </c:ser>
        <c:dLbls>
          <c:showLegendKey val="0"/>
          <c:showVal val="1"/>
          <c:showCatName val="0"/>
          <c:showSerName val="0"/>
          <c:showPercent val="0"/>
          <c:showBubbleSize val="0"/>
        </c:dLbls>
        <c:gapWidth val="150"/>
        <c:overlap val="100"/>
        <c:axId val="150701184"/>
        <c:axId val="150702336"/>
      </c:barChart>
      <c:catAx>
        <c:axId val="150701184"/>
        <c:scaling>
          <c:orientation val="minMax"/>
        </c:scaling>
        <c:delete val="0"/>
        <c:axPos val="b"/>
        <c:numFmt formatCode="General" sourceLinked="0"/>
        <c:majorTickMark val="out"/>
        <c:minorTickMark val="none"/>
        <c:tickLblPos val="nextTo"/>
        <c:txPr>
          <a:bodyPr rot="0" vert="horz"/>
          <a:lstStyle/>
          <a:p>
            <a:pPr>
              <a:defRPr/>
            </a:pPr>
            <a:endParaRPr lang="en-US"/>
          </a:p>
        </c:txPr>
        <c:crossAx val="150702336"/>
        <c:crosses val="autoZero"/>
        <c:auto val="1"/>
        <c:lblAlgn val="ctr"/>
        <c:lblOffset val="100"/>
        <c:tickLblSkip val="1"/>
        <c:tickMarkSkip val="1"/>
        <c:noMultiLvlLbl val="1"/>
      </c:catAx>
      <c:valAx>
        <c:axId val="150702336"/>
        <c:scaling>
          <c:orientation val="minMax"/>
        </c:scaling>
        <c:delete val="0"/>
        <c:axPos val="l"/>
        <c:majorGridlines/>
        <c:title>
          <c:tx>
            <c:strRef>
              <c:f>ROI!$P$10</c:f>
              <c:strCache>
                <c:ptCount val="1"/>
                <c:pt idx="0">
                  <c:v>Costs &amp; Benefits (per User)</c:v>
                </c:pt>
              </c:strCache>
            </c:strRef>
          </c:tx>
          <c:layout>
            <c:manualLayout>
              <c:xMode val="edge"/>
              <c:yMode val="edge"/>
              <c:x val="4.1728845029742459E-2"/>
              <c:y val="0.17520282067745824"/>
            </c:manualLayout>
          </c:layout>
          <c:overlay val="0"/>
          <c:txPr>
            <a:bodyPr/>
            <a:lstStyle/>
            <a:p>
              <a:pPr>
                <a:defRPr/>
              </a:pPr>
              <a:endParaRPr lang="en-US"/>
            </a:p>
          </c:txPr>
        </c:title>
        <c:numFmt formatCode="_([$$]* #,##0_);_([$$]* \(#,##0\);_([$$]* &quot;-&quot;_);_(@_)" sourceLinked="1"/>
        <c:majorTickMark val="out"/>
        <c:minorTickMark val="none"/>
        <c:tickLblPos val="nextTo"/>
        <c:txPr>
          <a:bodyPr rot="0" vert="horz"/>
          <a:lstStyle/>
          <a:p>
            <a:pPr>
              <a:defRPr/>
            </a:pPr>
            <a:endParaRPr lang="en-US"/>
          </a:p>
        </c:txPr>
        <c:crossAx val="150701184"/>
        <c:crossesAt val="1"/>
        <c:crossBetween val="between"/>
      </c:valAx>
    </c:plotArea>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921" l="0.70000000000000062" r="0.70000000000000062" t="0.75000000000000921" header="0.30000000000000032" footer="0.30000000000000032"/>
    <c:pageSetup paperSize="0" orientation="landscape" horizontalDpi="0" verticalDpi="0" copies="0"/>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chart>
    <c:title>
      <c:tx>
        <c:strRef>
          <c:f>ROI!$P$114</c:f>
          <c:strCache>
            <c:ptCount val="1"/>
            <c:pt idx="0">
              <c:v>Cash Flow</c:v>
            </c:pt>
          </c:strCache>
        </c:strRef>
      </c:tx>
      <c:layout>
        <c:manualLayout>
          <c:xMode val="edge"/>
          <c:yMode val="edge"/>
          <c:x val="0.38784708649007532"/>
          <c:y val="2.7747887678423875E-2"/>
        </c:manualLayout>
      </c:layout>
      <c:overlay val="0"/>
      <c:txPr>
        <a:bodyPr/>
        <a:lstStyle/>
        <a:p>
          <a:pPr>
            <a:defRPr sz="1800"/>
          </a:pPr>
          <a:endParaRPr lang="en-US"/>
        </a:p>
      </c:txPr>
    </c:title>
    <c:autoTitleDeleted val="0"/>
    <c:plotArea>
      <c:layout>
        <c:manualLayout>
          <c:layoutTarget val="inner"/>
          <c:xMode val="edge"/>
          <c:yMode val="edge"/>
          <c:x val="0.19406017405719048"/>
          <c:y val="0.21353410275770354"/>
          <c:w val="0.73828871391076112"/>
          <c:h val="0.6409184194441464"/>
        </c:manualLayout>
      </c:layout>
      <c:barChart>
        <c:barDir val="col"/>
        <c:grouping val="stacked"/>
        <c:varyColors val="0"/>
        <c:ser>
          <c:idx val="2"/>
          <c:order val="0"/>
          <c:tx>
            <c:strRef>
              <c:f>ROI!$E$133</c:f>
              <c:strCache>
                <c:ptCount val="1"/>
                <c:pt idx="0">
                  <c:v>Costs</c:v>
                </c:pt>
              </c:strCache>
            </c:strRef>
          </c:tx>
          <c:spPr>
            <a:solidFill>
              <a:srgbClr val="C00000"/>
            </a:solidFill>
          </c:spPr>
          <c:invertIfNegative val="0"/>
          <c:dLbls>
            <c:numFmt formatCode="#,##0" sourceLinked="0"/>
            <c:spPr>
              <a:noFill/>
              <a:ln>
                <a:noFill/>
              </a:ln>
              <a:effectLst/>
            </c:spPr>
            <c:txPr>
              <a:bodyPr rot="0" vert="horz"/>
              <a:lstStyle/>
              <a:p>
                <a:pPr>
                  <a:defRPr sz="800"/>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[0]!dCFper</c:f>
              <c:strCache>
                <c:ptCount val="6"/>
                <c:pt idx="0">
                  <c:v>Deploy</c:v>
                </c:pt>
                <c:pt idx="1">
                  <c:v>1</c:v>
                </c:pt>
                <c:pt idx="2">
                  <c:v>2</c:v>
                </c:pt>
                <c:pt idx="3">
                  <c:v>3</c:v>
                </c:pt>
                <c:pt idx="4">
                  <c:v>4</c:v>
                </c:pt>
                <c:pt idx="5">
                  <c:v>5</c:v>
                </c:pt>
              </c:strCache>
            </c:strRef>
          </c:cat>
          <c:val>
            <c:numRef>
              <c:f>[0]!dCFc</c:f>
              <c:numCache>
                <c:formatCode>_([$$]* #,##0_);_([$$]* \(#,##0\);_([$$]* "-"??_);_(@_)</c:formatCode>
                <c:ptCount val="6"/>
                <c:pt idx="0">
                  <c:v>-94.356345249593844</c:v>
                </c:pt>
                <c:pt idx="1">
                  <c:v>-10.980156352019755</c:v>
                </c:pt>
                <c:pt idx="2">
                  <c:v>-10.980156352019755</c:v>
                </c:pt>
                <c:pt idx="3">
                  <c:v>-10.980156352019755</c:v>
                </c:pt>
                <c:pt idx="4">
                  <c:v>-10.980156352019755</c:v>
                </c:pt>
                <c:pt idx="5">
                  <c:v>-10.980156352019755</c:v>
                </c:pt>
              </c:numCache>
            </c:numRef>
          </c:val>
          <c:extLst>
            <c:ext xmlns:c16="http://schemas.microsoft.com/office/drawing/2014/chart" uri="{C3380CC4-5D6E-409C-BE32-E72D297353CC}">
              <c16:uniqueId val="{00000000-0B55-4991-881B-E945EF8F038E}"/>
            </c:ext>
          </c:extLst>
        </c:ser>
        <c:ser>
          <c:idx val="0"/>
          <c:order val="1"/>
          <c:tx>
            <c:strRef>
              <c:f>ROI!$F$133</c:f>
              <c:strCache>
                <c:ptCount val="1"/>
                <c:pt idx="0">
                  <c:v>One-time Benefits</c:v>
                </c:pt>
              </c:strCache>
            </c:strRef>
          </c:tx>
          <c:spPr>
            <a:solidFill>
              <a:schemeClr val="accent3">
                <a:lumMod val="50000"/>
              </a:schemeClr>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0B55-4991-881B-E945EF8F038E}"/>
                </c:ext>
              </c:extLst>
            </c:dLbl>
            <c:dLbl>
              <c:idx val="2"/>
              <c:delete val="1"/>
              <c:extLst>
                <c:ext xmlns:c15="http://schemas.microsoft.com/office/drawing/2012/chart" uri="{CE6537A1-D6FC-4f65-9D91-7224C49458BB}"/>
                <c:ext xmlns:c16="http://schemas.microsoft.com/office/drawing/2014/chart" uri="{C3380CC4-5D6E-409C-BE32-E72D297353CC}">
                  <c16:uniqueId val="{00000002-0B55-4991-881B-E945EF8F038E}"/>
                </c:ext>
              </c:extLst>
            </c:dLbl>
            <c:dLbl>
              <c:idx val="3"/>
              <c:delete val="1"/>
              <c:extLst>
                <c:ext xmlns:c15="http://schemas.microsoft.com/office/drawing/2012/chart" uri="{CE6537A1-D6FC-4f65-9D91-7224C49458BB}"/>
                <c:ext xmlns:c16="http://schemas.microsoft.com/office/drawing/2014/chart" uri="{C3380CC4-5D6E-409C-BE32-E72D297353CC}">
                  <c16:uniqueId val="{00000003-0B55-4991-881B-E945EF8F038E}"/>
                </c:ext>
              </c:extLst>
            </c:dLbl>
            <c:dLbl>
              <c:idx val="4"/>
              <c:delete val="1"/>
              <c:extLst>
                <c:ext xmlns:c15="http://schemas.microsoft.com/office/drawing/2012/chart" uri="{CE6537A1-D6FC-4f65-9D91-7224C49458BB}"/>
                <c:ext xmlns:c16="http://schemas.microsoft.com/office/drawing/2014/chart" uri="{C3380CC4-5D6E-409C-BE32-E72D297353CC}">
                  <c16:uniqueId val="{00000004-0B55-4991-881B-E945EF8F038E}"/>
                </c:ext>
              </c:extLst>
            </c:dLbl>
            <c:dLbl>
              <c:idx val="5"/>
              <c:delete val="1"/>
              <c:extLst>
                <c:ext xmlns:c15="http://schemas.microsoft.com/office/drawing/2012/chart" uri="{CE6537A1-D6FC-4f65-9D91-7224C49458BB}"/>
                <c:ext xmlns:c16="http://schemas.microsoft.com/office/drawing/2014/chart" uri="{C3380CC4-5D6E-409C-BE32-E72D297353CC}">
                  <c16:uniqueId val="{00000005-0B55-4991-881B-E945EF8F038E}"/>
                </c:ext>
              </c:extLst>
            </c:dLbl>
            <c:dLbl>
              <c:idx val="6"/>
              <c:delete val="1"/>
              <c:extLst>
                <c:ext xmlns:c15="http://schemas.microsoft.com/office/drawing/2012/chart" uri="{CE6537A1-D6FC-4f65-9D91-7224C49458BB}"/>
                <c:ext xmlns:c16="http://schemas.microsoft.com/office/drawing/2014/chart" uri="{C3380CC4-5D6E-409C-BE32-E72D297353CC}">
                  <c16:uniqueId val="{00000006-0B55-4991-881B-E945EF8F038E}"/>
                </c:ext>
              </c:extLst>
            </c:dLbl>
            <c:dLbl>
              <c:idx val="7"/>
              <c:delete val="1"/>
              <c:extLst>
                <c:ext xmlns:c15="http://schemas.microsoft.com/office/drawing/2012/chart" uri="{CE6537A1-D6FC-4f65-9D91-7224C49458BB}"/>
                <c:ext xmlns:c16="http://schemas.microsoft.com/office/drawing/2014/chart" uri="{C3380CC4-5D6E-409C-BE32-E72D297353CC}">
                  <c16:uniqueId val="{00000007-0B55-4991-881B-E945EF8F038E}"/>
                </c:ext>
              </c:extLst>
            </c:dLbl>
            <c:dLbl>
              <c:idx val="8"/>
              <c:delete val="1"/>
              <c:extLst>
                <c:ext xmlns:c15="http://schemas.microsoft.com/office/drawing/2012/chart" uri="{CE6537A1-D6FC-4f65-9D91-7224C49458BB}"/>
                <c:ext xmlns:c16="http://schemas.microsoft.com/office/drawing/2014/chart" uri="{C3380CC4-5D6E-409C-BE32-E72D297353CC}">
                  <c16:uniqueId val="{00000008-0B55-4991-881B-E945EF8F038E}"/>
                </c:ext>
              </c:extLst>
            </c:dLbl>
            <c:dLbl>
              <c:idx val="9"/>
              <c:delete val="1"/>
              <c:extLst>
                <c:ext xmlns:c15="http://schemas.microsoft.com/office/drawing/2012/chart" uri="{CE6537A1-D6FC-4f65-9D91-7224C49458BB}"/>
                <c:ext xmlns:c16="http://schemas.microsoft.com/office/drawing/2014/chart" uri="{C3380CC4-5D6E-409C-BE32-E72D297353CC}">
                  <c16:uniqueId val="{00000009-0B55-4991-881B-E945EF8F038E}"/>
                </c:ext>
              </c:extLst>
            </c:dLbl>
            <c:dLbl>
              <c:idx val="10"/>
              <c:delete val="1"/>
              <c:extLst>
                <c:ext xmlns:c15="http://schemas.microsoft.com/office/drawing/2012/chart" uri="{CE6537A1-D6FC-4f65-9D91-7224C49458BB}"/>
                <c:ext xmlns:c16="http://schemas.microsoft.com/office/drawing/2014/chart" uri="{C3380CC4-5D6E-409C-BE32-E72D297353CC}">
                  <c16:uniqueId val="{0000000A-0B55-4991-881B-E945EF8F038E}"/>
                </c:ext>
              </c:extLst>
            </c:dLbl>
            <c:numFmt formatCode="#,##0" sourceLinked="0"/>
            <c:spPr>
              <a:noFill/>
              <a:ln>
                <a:noFill/>
              </a:ln>
              <a:effectLst/>
            </c:spPr>
            <c:txPr>
              <a:bodyPr rot="0" vert="horz"/>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[0]!dCFper</c:f>
              <c:strCache>
                <c:ptCount val="6"/>
                <c:pt idx="0">
                  <c:v>Deploy</c:v>
                </c:pt>
                <c:pt idx="1">
                  <c:v>1</c:v>
                </c:pt>
                <c:pt idx="2">
                  <c:v>2</c:v>
                </c:pt>
                <c:pt idx="3">
                  <c:v>3</c:v>
                </c:pt>
                <c:pt idx="4">
                  <c:v>4</c:v>
                </c:pt>
                <c:pt idx="5">
                  <c:v>5</c:v>
                </c:pt>
              </c:strCache>
            </c:strRef>
          </c:cat>
          <c:val>
            <c:numRef>
              <c:f>[0]!dCF1b</c:f>
              <c:numCache>
                <c:formatCode>_([$$]* #,##0_);_([$$]* \(#,##0\);_([$$]* "-"??_);_(@_)</c:formatCode>
                <c:ptCount val="6"/>
                <c:pt idx="1">
                  <c:v>7.4700000000000006</c:v>
                </c:pt>
              </c:numCache>
            </c:numRef>
          </c:val>
          <c:extLst>
            <c:ext xmlns:c16="http://schemas.microsoft.com/office/drawing/2014/chart" uri="{C3380CC4-5D6E-409C-BE32-E72D297353CC}">
              <c16:uniqueId val="{0000000B-0B55-4991-881B-E945EF8F038E}"/>
            </c:ext>
          </c:extLst>
        </c:ser>
        <c:ser>
          <c:idx val="3"/>
          <c:order val="2"/>
          <c:tx>
            <c:strRef>
              <c:f>ROI!$H$133</c:f>
              <c:strCache>
                <c:ptCount val="1"/>
                <c:pt idx="0">
                  <c:v>On-Going Benefits</c:v>
                </c:pt>
              </c:strCache>
            </c:strRef>
          </c:tx>
          <c:spPr>
            <a:solidFill>
              <a:schemeClr val="accent3"/>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0B55-4991-881B-E945EF8F038E}"/>
                </c:ext>
              </c:extLst>
            </c:dLbl>
            <c:numFmt formatCode="#,##0" sourceLinked="0"/>
            <c:spPr>
              <a:noFill/>
              <a:ln>
                <a:noFill/>
              </a:ln>
              <a:effectLst/>
            </c:spPr>
            <c:txPr>
              <a:bodyPr rot="0" vert="horz"/>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[0]!dCFper</c:f>
              <c:strCache>
                <c:ptCount val="6"/>
                <c:pt idx="0">
                  <c:v>Deploy</c:v>
                </c:pt>
                <c:pt idx="1">
                  <c:v>1</c:v>
                </c:pt>
                <c:pt idx="2">
                  <c:v>2</c:v>
                </c:pt>
                <c:pt idx="3">
                  <c:v>3</c:v>
                </c:pt>
                <c:pt idx="4">
                  <c:v>4</c:v>
                </c:pt>
                <c:pt idx="5">
                  <c:v>5</c:v>
                </c:pt>
              </c:strCache>
            </c:strRef>
          </c:cat>
          <c:val>
            <c:numRef>
              <c:f>[0]!dCFb</c:f>
              <c:numCache>
                <c:formatCode>_([$$]* #,##0_);_([$$]* \(#,##0\);_([$$]* "-"??_);_(@_)</c:formatCode>
                <c:ptCount val="6"/>
                <c:pt idx="1">
                  <c:v>209.91773842838921</c:v>
                </c:pt>
                <c:pt idx="2">
                  <c:v>209.91773842838921</c:v>
                </c:pt>
                <c:pt idx="3">
                  <c:v>209.91773842838921</c:v>
                </c:pt>
                <c:pt idx="4">
                  <c:v>209.91773842838921</c:v>
                </c:pt>
                <c:pt idx="5">
                  <c:v>209.91773842838921</c:v>
                </c:pt>
              </c:numCache>
            </c:numRef>
          </c:val>
          <c:extLst>
            <c:ext xmlns:c16="http://schemas.microsoft.com/office/drawing/2014/chart" uri="{C3380CC4-5D6E-409C-BE32-E72D297353CC}">
              <c16:uniqueId val="{0000000D-0B55-4991-881B-E945EF8F038E}"/>
            </c:ext>
          </c:extLst>
        </c:ser>
        <c:dLbls>
          <c:showLegendKey val="0"/>
          <c:showVal val="1"/>
          <c:showCatName val="0"/>
          <c:showSerName val="0"/>
          <c:showPercent val="0"/>
          <c:showBubbleSize val="0"/>
        </c:dLbls>
        <c:gapWidth val="150"/>
        <c:overlap val="100"/>
        <c:axId val="140547200"/>
        <c:axId val="140549120"/>
      </c:barChart>
      <c:catAx>
        <c:axId val="140547200"/>
        <c:scaling>
          <c:orientation val="minMax"/>
        </c:scaling>
        <c:delete val="0"/>
        <c:axPos val="b"/>
        <c:title>
          <c:tx>
            <c:strRef>
              <c:f>ROI!$P$117</c:f>
              <c:strCache>
                <c:ptCount val="1"/>
                <c:pt idx="0">
                  <c:v>Time Period</c:v>
                </c:pt>
              </c:strCache>
            </c:strRef>
          </c:tx>
          <c:layout>
            <c:manualLayout>
              <c:xMode val="edge"/>
              <c:yMode val="edge"/>
              <c:x val="0.4553124476461719"/>
              <c:y val="0.92610851040880282"/>
            </c:manualLayout>
          </c:layout>
          <c:overlay val="0"/>
          <c:txPr>
            <a:bodyPr/>
            <a:lstStyle/>
            <a:p>
              <a:pPr>
                <a:defRPr/>
              </a:pPr>
              <a:endParaRPr lang="en-US"/>
            </a:p>
          </c:txPr>
        </c:title>
        <c:numFmt formatCode="General" sourceLinked="0"/>
        <c:majorTickMark val="out"/>
        <c:minorTickMark val="none"/>
        <c:tickLblPos val="low"/>
        <c:spPr>
          <a:ln w="25400"/>
        </c:spPr>
        <c:txPr>
          <a:bodyPr rot="0" vert="horz"/>
          <a:lstStyle/>
          <a:p>
            <a:pPr>
              <a:defRPr/>
            </a:pPr>
            <a:endParaRPr lang="en-US"/>
          </a:p>
        </c:txPr>
        <c:crossAx val="140549120"/>
        <c:crosses val="autoZero"/>
        <c:auto val="1"/>
        <c:lblAlgn val="ctr"/>
        <c:lblOffset val="100"/>
        <c:noMultiLvlLbl val="1"/>
      </c:catAx>
      <c:valAx>
        <c:axId val="140549120"/>
        <c:scaling>
          <c:orientation val="minMax"/>
        </c:scaling>
        <c:delete val="0"/>
        <c:axPos val="l"/>
        <c:majorGridlines/>
        <c:title>
          <c:tx>
            <c:strRef>
              <c:f>ROI!$P$115</c:f>
              <c:strCache>
                <c:ptCount val="1"/>
                <c:pt idx="0">
                  <c:v>Cash Flow (per User)
</c:v>
                </c:pt>
              </c:strCache>
            </c:strRef>
          </c:tx>
          <c:layout>
            <c:manualLayout>
              <c:xMode val="edge"/>
              <c:yMode val="edge"/>
              <c:x val="1.9757204033706323E-2"/>
              <c:y val="0.3514480867933053"/>
            </c:manualLayout>
          </c:layout>
          <c:overlay val="0"/>
          <c:txPr>
            <a:bodyPr/>
            <a:lstStyle/>
            <a:p>
              <a:pPr>
                <a:defRPr/>
              </a:pPr>
              <a:endParaRPr lang="en-US"/>
            </a:p>
          </c:txPr>
        </c:title>
        <c:numFmt formatCode="_([$$]* #,##0_);_([$$]* \(#,##0\);_([$$]* &quot;-&quot;??_);_(@_)" sourceLinked="1"/>
        <c:majorTickMark val="out"/>
        <c:minorTickMark val="none"/>
        <c:tickLblPos val="nextTo"/>
        <c:txPr>
          <a:bodyPr rot="0" vert="horz"/>
          <a:lstStyle/>
          <a:p>
            <a:pPr>
              <a:defRPr/>
            </a:pPr>
            <a:endParaRPr lang="en-US"/>
          </a:p>
        </c:txPr>
        <c:crossAx val="140547200"/>
        <c:crossesAt val="1"/>
        <c:crossBetween val="between"/>
      </c:valAx>
    </c:plotArea>
    <c:legend>
      <c:legendPos val="t"/>
      <c:layout>
        <c:manualLayout>
          <c:xMode val="edge"/>
          <c:yMode val="edge"/>
          <c:x val="0.11599213218915012"/>
          <c:y val="0.11315082874914605"/>
          <c:w val="0.76801573562170089"/>
          <c:h val="6.6056304605759897E-2"/>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866" l="0.70000000000000062" r="0.70000000000000062" t="0.75000000000000866" header="0.30000000000000032" footer="0.30000000000000032"/>
    <c:pageSetup paperSize="0" orientation="landscape" horizontalDpi="0" verticalDpi="0" copies="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TCO!$P$30</c:f>
          <c:strCache>
            <c:ptCount val="1"/>
            <c:pt idx="0">
              <c:v>IT Spending (TCO) Summary</c:v>
            </c:pt>
          </c:strCache>
        </c:strRef>
      </c:tx>
      <c:overlay val="0"/>
      <c:txPr>
        <a:bodyPr/>
        <a:lstStyle/>
        <a:p>
          <a:pPr>
            <a:defRPr/>
          </a:pPr>
          <a:endParaRPr lang="en-US"/>
        </a:p>
      </c:txPr>
    </c:title>
    <c:autoTitleDeleted val="0"/>
    <c:plotArea>
      <c:layout>
        <c:manualLayout>
          <c:layoutTarget val="inner"/>
          <c:xMode val="edge"/>
          <c:yMode val="edge"/>
          <c:x val="0.32361448268748166"/>
          <c:y val="0.28239027523372323"/>
          <c:w val="0.59725154443030859"/>
          <c:h val="0.65697869337330073"/>
        </c:manualLayout>
      </c:layout>
      <c:barChart>
        <c:barDir val="bar"/>
        <c:grouping val="clustered"/>
        <c:varyColors val="0"/>
        <c:ser>
          <c:idx val="0"/>
          <c:order val="0"/>
          <c:tx>
            <c:strRef>
              <c:f>TCO!$G$21</c:f>
              <c:strCache>
                <c:ptCount val="1"/>
                <c:pt idx="0">
                  <c:v>As-Is</c:v>
                </c:pt>
              </c:strCache>
            </c:strRef>
          </c:tx>
          <c:spPr>
            <a:solidFill>
              <a:schemeClr val="accent1">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TCO!$C$22:$C$26</c:f>
              <c:strCache>
                <c:ptCount val="5"/>
                <c:pt idx="0">
                  <c:v>Hardware</c:v>
                </c:pt>
                <c:pt idx="1">
                  <c:v>Software</c:v>
                </c:pt>
                <c:pt idx="2">
                  <c:v>Internal IT Staff</c:v>
                </c:pt>
                <c:pt idx="3">
                  <c:v>External IT Services</c:v>
                </c:pt>
                <c:pt idx="4">
                  <c:v>Telecom / Networking</c:v>
                </c:pt>
              </c:strCache>
            </c:strRef>
          </c:cat>
          <c:val>
            <c:numRef>
              <c:f>TCO!$G$22:$G$26</c:f>
              <c:numCache>
                <c:formatCode>_([$$]* #,##0_);_([$$]* \(#,##0\);_([$$]* "-"??_);_(@_)</c:formatCode>
                <c:ptCount val="5"/>
                <c:pt idx="0">
                  <c:v>2102.5996411504093</c:v>
                </c:pt>
                <c:pt idx="1">
                  <c:v>2587.8149429543496</c:v>
                </c:pt>
                <c:pt idx="2">
                  <c:v>3930.1969500813302</c:v>
                </c:pt>
                <c:pt idx="3">
                  <c:v>3396.5071126275843</c:v>
                </c:pt>
                <c:pt idx="4">
                  <c:v>3073.0302447582912</c:v>
                </c:pt>
              </c:numCache>
            </c:numRef>
          </c:val>
          <c:extLst>
            <c:ext xmlns:c16="http://schemas.microsoft.com/office/drawing/2014/chart" uri="{C3380CC4-5D6E-409C-BE32-E72D297353CC}">
              <c16:uniqueId val="{00000000-3468-448D-9E74-38137ACAA768}"/>
            </c:ext>
          </c:extLst>
        </c:ser>
        <c:ser>
          <c:idx val="1"/>
          <c:order val="1"/>
          <c:tx>
            <c:strRef>
              <c:f>TCO!$I$21</c:f>
              <c:strCache>
                <c:ptCount val="1"/>
                <c:pt idx="0">
                  <c:v>To-Be</c:v>
                </c:pt>
              </c:strCache>
            </c:strRef>
          </c:tx>
          <c:spPr>
            <a:solidFill>
              <a:schemeClr val="accent3">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TCO!$C$22:$C$26</c:f>
              <c:strCache>
                <c:ptCount val="5"/>
                <c:pt idx="0">
                  <c:v>Hardware</c:v>
                </c:pt>
                <c:pt idx="1">
                  <c:v>Software</c:v>
                </c:pt>
                <c:pt idx="2">
                  <c:v>Internal IT Staff</c:v>
                </c:pt>
                <c:pt idx="3">
                  <c:v>External IT Services</c:v>
                </c:pt>
                <c:pt idx="4">
                  <c:v>Telecom / Networking</c:v>
                </c:pt>
              </c:strCache>
            </c:strRef>
          </c:cat>
          <c:val>
            <c:numRef>
              <c:f>TCO!$I$22:$I$26</c:f>
              <c:numCache>
                <c:formatCode>_([$$]* #,##0_);_([$$]* \(#,##0\);_([$$]* "-"_);_(@_)</c:formatCode>
                <c:ptCount val="5"/>
                <c:pt idx="0">
                  <c:v>2084.7275442006307</c:v>
                </c:pt>
                <c:pt idx="1">
                  <c:v>2570.7224252561359</c:v>
                </c:pt>
                <c:pt idx="2">
                  <c:v>3903.1452788004285</c:v>
                </c:pt>
                <c:pt idx="3">
                  <c:v>3369.386003333253</c:v>
                </c:pt>
                <c:pt idx="4">
                  <c:v>3065.4705903561858</c:v>
                </c:pt>
              </c:numCache>
            </c:numRef>
          </c:val>
          <c:extLst>
            <c:ext xmlns:c16="http://schemas.microsoft.com/office/drawing/2014/chart" uri="{C3380CC4-5D6E-409C-BE32-E72D297353CC}">
              <c16:uniqueId val="{00000001-3468-448D-9E74-38137ACAA768}"/>
            </c:ext>
          </c:extLst>
        </c:ser>
        <c:dLbls>
          <c:showLegendKey val="0"/>
          <c:showVal val="1"/>
          <c:showCatName val="0"/>
          <c:showSerName val="0"/>
          <c:showPercent val="0"/>
          <c:showBubbleSize val="0"/>
        </c:dLbls>
        <c:gapWidth val="76"/>
        <c:axId val="136878720"/>
        <c:axId val="136880512"/>
      </c:barChart>
      <c:catAx>
        <c:axId val="136878720"/>
        <c:scaling>
          <c:orientation val="maxMin"/>
        </c:scaling>
        <c:delete val="0"/>
        <c:axPos val="l"/>
        <c:numFmt formatCode="General" sourceLinked="1"/>
        <c:majorTickMark val="out"/>
        <c:minorTickMark val="none"/>
        <c:tickLblPos val="nextTo"/>
        <c:crossAx val="136880512"/>
        <c:crosses val="autoZero"/>
        <c:auto val="1"/>
        <c:lblAlgn val="ctr"/>
        <c:lblOffset val="100"/>
        <c:noMultiLvlLbl val="0"/>
      </c:catAx>
      <c:valAx>
        <c:axId val="136880512"/>
        <c:scaling>
          <c:orientation val="minMax"/>
        </c:scaling>
        <c:delete val="0"/>
        <c:axPos val="t"/>
        <c:majorGridlines/>
        <c:title>
          <c:tx>
            <c:strRef>
              <c:f>TCO!$P$33</c:f>
              <c:strCache>
                <c:ptCount val="1"/>
                <c:pt idx="0">
                  <c:v>Annual IT Spending (per PC User)</c:v>
                </c:pt>
              </c:strCache>
            </c:strRef>
          </c:tx>
          <c:overlay val="0"/>
          <c:txPr>
            <a:bodyPr rot="0" vert="horz"/>
            <a:lstStyle/>
            <a:p>
              <a:pPr>
                <a:defRPr/>
              </a:pPr>
              <a:endParaRPr lang="en-US"/>
            </a:p>
          </c:txPr>
        </c:title>
        <c:numFmt formatCode="_([$$]* #,##0_);_([$$]* \(#,##0\);_([$$]* &quot;-&quot;??_);_(@_)" sourceLinked="1"/>
        <c:majorTickMark val="out"/>
        <c:minorTickMark val="none"/>
        <c:tickLblPos val="nextTo"/>
        <c:crossAx val="136878720"/>
        <c:crosses val="autoZero"/>
        <c:crossBetween val="between"/>
      </c:valAx>
    </c:plotArea>
    <c:legend>
      <c:legendPos val="r"/>
      <c:layout>
        <c:manualLayout>
          <c:xMode val="edge"/>
          <c:yMode val="edge"/>
          <c:x val="2.8038831390617643E-2"/>
          <c:y val="3.7866958473091211E-2"/>
          <c:w val="0.14733509839654324"/>
          <c:h val="0.14971128608923936"/>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799" l="0.70000000000000062" r="0.70000000000000062" t="0.75000000000000799"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Total Implementation Costs </a:t>
            </a:r>
          </a:p>
          <a:p>
            <a:pPr>
              <a:defRPr/>
            </a:pPr>
            <a:r>
              <a:rPr lang="en-US"/>
              <a:t>(Per PC)</a:t>
            </a:r>
          </a:p>
        </c:rich>
      </c:tx>
      <c:layout>
        <c:manualLayout>
          <c:xMode val="edge"/>
          <c:yMode val="edge"/>
          <c:x val="0.15809432133941809"/>
          <c:y val="6.461928831786052E-3"/>
        </c:manualLayout>
      </c:layout>
      <c:overlay val="0"/>
    </c:title>
    <c:autoTitleDeleted val="0"/>
    <c:plotArea>
      <c:layout>
        <c:manualLayout>
          <c:layoutTarget val="inner"/>
          <c:xMode val="edge"/>
          <c:yMode val="edge"/>
          <c:x val="0.23651088684337157"/>
          <c:y val="0.19032590235683455"/>
          <c:w val="0.31675087489064113"/>
          <c:h val="0.70592934195246049"/>
        </c:manualLayout>
      </c:layout>
      <c:barChart>
        <c:barDir val="col"/>
        <c:grouping val="stacked"/>
        <c:varyColors val="0"/>
        <c:ser>
          <c:idx val="0"/>
          <c:order val="0"/>
          <c:tx>
            <c:strRef>
              <c:f>'Rpt Cntnt'!$D$73</c:f>
              <c:strCache>
                <c:ptCount val="1"/>
                <c:pt idx="0">
                  <c:v>Client Hardware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'Rpt Cntnt'!$E$72</c:f>
              <c:strCache>
                <c:ptCount val="1"/>
                <c:pt idx="0">
                  <c:v>Project Total</c:v>
                </c:pt>
              </c:strCache>
            </c:strRef>
          </c:cat>
          <c:val>
            <c:numRef>
              <c:f>'Rpt Cntnt'!$E$73</c:f>
              <c:numCache>
                <c:formatCode>_([$$]* #,##0_);_([$$]* \(#,##0\);_([$$]* "-"??_);_(@_)</c:formatCode>
                <c:ptCount val="1"/>
                <c:pt idx="0">
                  <c:v>0</c:v>
                </c:pt>
              </c:numCache>
            </c:numRef>
          </c:val>
          <c:extLst>
            <c:ext xmlns:c16="http://schemas.microsoft.com/office/drawing/2014/chart" uri="{C3380CC4-5D6E-409C-BE32-E72D297353CC}">
              <c16:uniqueId val="{00000000-CBB4-4F64-89D8-D376EF4573E9}"/>
            </c:ext>
          </c:extLst>
        </c:ser>
        <c:ser>
          <c:idx val="1"/>
          <c:order val="1"/>
          <c:tx>
            <c:strRef>
              <c:f>'Rpt Cntnt'!$D$74</c:f>
              <c:strCache>
                <c:ptCount val="1"/>
                <c:pt idx="0">
                  <c:v>Data Center Hardware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'Rpt Cntnt'!$E$72</c:f>
              <c:strCache>
                <c:ptCount val="1"/>
                <c:pt idx="0">
                  <c:v>Project Total</c:v>
                </c:pt>
              </c:strCache>
            </c:strRef>
          </c:cat>
          <c:val>
            <c:numRef>
              <c:f>'Rpt Cntnt'!$E$74</c:f>
              <c:numCache>
                <c:formatCode>_([$$]* #,##0_);_([$$]* \(#,##0\);_([$$]* "-"??_);_(@_)</c:formatCode>
                <c:ptCount val="1"/>
                <c:pt idx="0">
                  <c:v>72.245063668897359</c:v>
                </c:pt>
              </c:numCache>
            </c:numRef>
          </c:val>
          <c:extLst>
            <c:ext xmlns:c16="http://schemas.microsoft.com/office/drawing/2014/chart" uri="{C3380CC4-5D6E-409C-BE32-E72D297353CC}">
              <c16:uniqueId val="{00000000-A07E-4B30-AE26-7AD596689117}"/>
            </c:ext>
          </c:extLst>
        </c:ser>
        <c:ser>
          <c:idx val="2"/>
          <c:order val="2"/>
          <c:tx>
            <c:strRef>
              <c:f>'Rpt Cntnt'!$D$75</c:f>
              <c:strCache>
                <c:ptCount val="1"/>
                <c:pt idx="0">
                  <c:v>Client Software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'Rpt Cntnt'!$E$72</c:f>
              <c:strCache>
                <c:ptCount val="1"/>
                <c:pt idx="0">
                  <c:v>Project Total</c:v>
                </c:pt>
              </c:strCache>
            </c:strRef>
          </c:cat>
          <c:val>
            <c:numRef>
              <c:f>'Rpt Cntnt'!$E$75</c:f>
              <c:numCache>
                <c:formatCode>_([$$]* #,##0_);_([$$]* \(#,##0\);_([$$]* "-"??_);_(@_)</c:formatCode>
                <c:ptCount val="1"/>
                <c:pt idx="0">
                  <c:v>60.65145107060286</c:v>
                </c:pt>
              </c:numCache>
            </c:numRef>
          </c:val>
          <c:extLst>
            <c:ext xmlns:c16="http://schemas.microsoft.com/office/drawing/2014/chart" uri="{C3380CC4-5D6E-409C-BE32-E72D297353CC}">
              <c16:uniqueId val="{00000001-A07E-4B30-AE26-7AD596689117}"/>
            </c:ext>
          </c:extLst>
        </c:ser>
        <c:ser>
          <c:idx val="3"/>
          <c:order val="3"/>
          <c:tx>
            <c:strRef>
              <c:f>'Rpt Cntnt'!$D$76</c:f>
              <c:strCache>
                <c:ptCount val="1"/>
                <c:pt idx="0">
                  <c:v>Server Software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'Rpt Cntnt'!$E$72</c:f>
              <c:strCache>
                <c:ptCount val="1"/>
                <c:pt idx="0">
                  <c:v>Project Total</c:v>
                </c:pt>
              </c:strCache>
            </c:strRef>
          </c:cat>
          <c:val>
            <c:numRef>
              <c:f>'Rpt Cntnt'!$E$76</c:f>
              <c:numCache>
                <c:formatCode>_([$$]* #,##0_);_([$$]* \(#,##0\);_([$$]* "-"??_);_(@_)</c:formatCode>
                <c:ptCount val="1"/>
                <c:pt idx="0">
                  <c:v>123.27530705407091</c:v>
                </c:pt>
              </c:numCache>
            </c:numRef>
          </c:val>
          <c:extLst>
            <c:ext xmlns:c16="http://schemas.microsoft.com/office/drawing/2014/chart" uri="{C3380CC4-5D6E-409C-BE32-E72D297353CC}">
              <c16:uniqueId val="{00000002-A07E-4B30-AE26-7AD596689117}"/>
            </c:ext>
          </c:extLst>
        </c:ser>
        <c:ser>
          <c:idx val="4"/>
          <c:order val="4"/>
          <c:tx>
            <c:strRef>
              <c:f>'Rpt Cntnt'!$D$77</c:f>
              <c:strCache>
                <c:ptCount val="1"/>
                <c:pt idx="0">
                  <c:v>One-time Implementation Labor/Services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'Rpt Cntnt'!$E$72</c:f>
              <c:strCache>
                <c:ptCount val="1"/>
                <c:pt idx="0">
                  <c:v>Project Total</c:v>
                </c:pt>
              </c:strCache>
            </c:strRef>
          </c:cat>
          <c:val>
            <c:numRef>
              <c:f>'Rpt Cntnt'!$E$77</c:f>
              <c:numCache>
                <c:formatCode>_([$$]* #,##0_);_([$$]* \(#,##0\);_([$$]* "-"??_);_(@_)</c:formatCode>
                <c:ptCount val="1"/>
                <c:pt idx="0">
                  <c:v>49.488725422755223</c:v>
                </c:pt>
              </c:numCache>
            </c:numRef>
          </c:val>
          <c:extLst>
            <c:ext xmlns:c16="http://schemas.microsoft.com/office/drawing/2014/chart" uri="{C3380CC4-5D6E-409C-BE32-E72D297353CC}">
              <c16:uniqueId val="{00000003-A07E-4B30-AE26-7AD596689117}"/>
            </c:ext>
          </c:extLst>
        </c:ser>
        <c:ser>
          <c:idx val="5"/>
          <c:order val="5"/>
          <c:tx>
            <c:strRef>
              <c:f>'Rpt Cntnt'!$D$78</c:f>
              <c:strCache>
                <c:ptCount val="1"/>
                <c:pt idx="0">
                  <c:v>Annual On-Going Labor/Services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'Rpt Cntnt'!$E$72</c:f>
              <c:strCache>
                <c:ptCount val="1"/>
                <c:pt idx="0">
                  <c:v>Project Total</c:v>
                </c:pt>
              </c:strCache>
            </c:strRef>
          </c:cat>
          <c:val>
            <c:numRef>
              <c:f>'Rpt Cntnt'!$E$78</c:f>
              <c:numCache>
                <c:formatCode>_([$$]* #,##0_);_([$$]* \(#,##0\);_([$$]* "-"??_);_(@_)</c:formatCode>
                <c:ptCount val="1"/>
                <c:pt idx="0">
                  <c:v>1.1826349825290765</c:v>
                </c:pt>
              </c:numCache>
            </c:numRef>
          </c:val>
          <c:extLst>
            <c:ext xmlns:c16="http://schemas.microsoft.com/office/drawing/2014/chart" uri="{C3380CC4-5D6E-409C-BE32-E72D297353CC}">
              <c16:uniqueId val="{00000004-A07E-4B30-AE26-7AD596689117}"/>
            </c:ext>
          </c:extLst>
        </c:ser>
        <c:ser>
          <c:idx val="6"/>
          <c:order val="6"/>
          <c:tx>
            <c:strRef>
              <c:f>'Rpt Cntnt'!$D$79</c:f>
              <c:strCache>
                <c:ptCount val="1"/>
                <c:pt idx="0">
                  <c:v>Incremental Help Desk Calls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'Rpt Cntnt'!$E$72</c:f>
              <c:strCache>
                <c:ptCount val="1"/>
                <c:pt idx="0">
                  <c:v>Project Total</c:v>
                </c:pt>
              </c:strCache>
            </c:strRef>
          </c:cat>
          <c:val>
            <c:numRef>
              <c:f>'Rpt Cntnt'!$E$79</c:f>
              <c:numCache>
                <c:formatCode>_([$$]* #,##0_);_([$$]* \(#,##0\);_([$$]* "-"??_);_(@_)</c:formatCode>
                <c:ptCount val="1"/>
                <c:pt idx="0">
                  <c:v>2.7015601757334542</c:v>
                </c:pt>
              </c:numCache>
            </c:numRef>
          </c:val>
          <c:extLst>
            <c:ext xmlns:c16="http://schemas.microsoft.com/office/drawing/2014/chart" uri="{C3380CC4-5D6E-409C-BE32-E72D297353CC}">
              <c16:uniqueId val="{00000005-A07E-4B30-AE26-7AD596689117}"/>
            </c:ext>
          </c:extLst>
        </c:ser>
        <c:ser>
          <c:idx val="7"/>
          <c:order val="7"/>
          <c:tx>
            <c:strRef>
              <c:f>'Rpt Cntnt'!$D$80</c:f>
              <c:strCache>
                <c:ptCount val="1"/>
                <c:pt idx="0">
                  <c:v>IT Training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'Rpt Cntnt'!$E$72</c:f>
              <c:strCache>
                <c:ptCount val="1"/>
                <c:pt idx="0">
                  <c:v>Project Total</c:v>
                </c:pt>
              </c:strCache>
            </c:strRef>
          </c:cat>
          <c:val>
            <c:numRef>
              <c:f>'Rpt Cntnt'!$E$80</c:f>
              <c:numCache>
                <c:formatCode>_([$$]* #,##0_);_([$$]* \(#,##0\);_([$$]* "-"??_);_(@_)</c:formatCode>
                <c:ptCount val="1"/>
                <c:pt idx="0">
                  <c:v>40.469378964601319</c:v>
                </c:pt>
              </c:numCache>
            </c:numRef>
          </c:val>
          <c:extLst>
            <c:ext xmlns:c16="http://schemas.microsoft.com/office/drawing/2014/chart" uri="{C3380CC4-5D6E-409C-BE32-E72D297353CC}">
              <c16:uniqueId val="{00000006-A07E-4B30-AE26-7AD596689117}"/>
            </c:ext>
          </c:extLst>
        </c:ser>
        <c:ser>
          <c:idx val="8"/>
          <c:order val="8"/>
          <c:tx>
            <c:strRef>
              <c:f>'Rpt Cntnt'!$D$81</c:f>
              <c:strCache>
                <c:ptCount val="1"/>
                <c:pt idx="0">
                  <c:v>End-User Labor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'Rpt Cntnt'!$E$72</c:f>
              <c:strCache>
                <c:ptCount val="1"/>
                <c:pt idx="0">
                  <c:v>Project Total</c:v>
                </c:pt>
              </c:strCache>
            </c:strRef>
          </c:cat>
          <c:val>
            <c:numRef>
              <c:f>'Rpt Cntnt'!$E$81</c:f>
              <c:numCache>
                <c:formatCode>_([$$]* #,##0_);_([$$]* \(#,##0\);_([$$]* "-"??_);_(@_)</c:formatCode>
                <c:ptCount val="1"/>
                <c:pt idx="0">
                  <c:v>31.018218163671129</c:v>
                </c:pt>
              </c:numCache>
            </c:numRef>
          </c:val>
          <c:extLst>
            <c:ext xmlns:c16="http://schemas.microsoft.com/office/drawing/2014/chart" uri="{C3380CC4-5D6E-409C-BE32-E72D297353CC}">
              <c16:uniqueId val="{00000007-A07E-4B30-AE26-7AD596689117}"/>
            </c:ext>
          </c:extLst>
        </c:ser>
        <c:ser>
          <c:idx val="9"/>
          <c:order val="9"/>
          <c:tx>
            <c:strRef>
              <c:f>'Rpt Cntnt'!$D$82</c:f>
              <c:strCache>
                <c:ptCount val="1"/>
                <c:pt idx="0">
                  <c:v>End-User Training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'Rpt Cntnt'!$E$72</c:f>
              <c:strCache>
                <c:ptCount val="1"/>
                <c:pt idx="0">
                  <c:v>Project Total</c:v>
                </c:pt>
              </c:strCache>
            </c:strRef>
          </c:cat>
          <c:val>
            <c:numRef>
              <c:f>'Rpt Cntnt'!$E$82</c:f>
              <c:numCache>
                <c:formatCode>_([$$]* #,##0_);_([$$]* \(#,##0\);_([$$]* "-"??_);_(@_)</c:formatCode>
                <c:ptCount val="1"/>
                <c:pt idx="0">
                  <c:v>29.752065977212666</c:v>
                </c:pt>
              </c:numCache>
            </c:numRef>
          </c:val>
          <c:extLst>
            <c:ext xmlns:c16="http://schemas.microsoft.com/office/drawing/2014/chart" uri="{C3380CC4-5D6E-409C-BE32-E72D297353CC}">
              <c16:uniqueId val="{00000008-A07E-4B30-AE26-7AD596689117}"/>
            </c:ext>
          </c:extLst>
        </c:ser>
        <c:dLbls>
          <c:showLegendKey val="0"/>
          <c:showVal val="1"/>
          <c:showCatName val="0"/>
          <c:showSerName val="0"/>
          <c:showPercent val="0"/>
          <c:showBubbleSize val="0"/>
        </c:dLbls>
        <c:gapWidth val="150"/>
        <c:overlap val="100"/>
        <c:axId val="151202432"/>
        <c:axId val="151216512"/>
      </c:barChart>
      <c:catAx>
        <c:axId val="151202432"/>
        <c:scaling>
          <c:orientation val="minMax"/>
        </c:scaling>
        <c:delete val="0"/>
        <c:axPos val="b"/>
        <c:numFmt formatCode="General" sourceLinked="0"/>
        <c:majorTickMark val="out"/>
        <c:minorTickMark val="none"/>
        <c:tickLblPos val="nextTo"/>
        <c:txPr>
          <a:bodyPr rot="0" vert="horz"/>
          <a:lstStyle/>
          <a:p>
            <a:pPr>
              <a:defRPr/>
            </a:pPr>
            <a:endParaRPr lang="en-US"/>
          </a:p>
        </c:txPr>
        <c:crossAx val="151216512"/>
        <c:crosses val="autoZero"/>
        <c:auto val="1"/>
        <c:lblAlgn val="ctr"/>
        <c:lblOffset val="100"/>
        <c:tickLblSkip val="1"/>
        <c:tickMarkSkip val="1"/>
        <c:noMultiLvlLbl val="1"/>
      </c:catAx>
      <c:valAx>
        <c:axId val="151216512"/>
        <c:scaling>
          <c:orientation val="minMax"/>
        </c:scaling>
        <c:delete val="0"/>
        <c:axPos val="l"/>
        <c:majorGridlines/>
        <c:title>
          <c:tx>
            <c:rich>
              <a:bodyPr/>
              <a:lstStyle/>
              <a:p>
                <a:pPr>
                  <a:defRPr/>
                </a:pPr>
                <a:r>
                  <a:rPr lang="en-US"/>
                  <a:t>Total Costs (per PC)</a:t>
                </a:r>
              </a:p>
            </c:rich>
          </c:tx>
          <c:layout>
            <c:manualLayout>
              <c:xMode val="edge"/>
              <c:yMode val="edge"/>
              <c:x val="2.5698293737379252E-2"/>
              <c:y val="0.3122003767933918"/>
            </c:manualLayout>
          </c:layout>
          <c:overlay val="0"/>
        </c:title>
        <c:numFmt formatCode="_([$$]* #,##0_);_([$$]* \(#,##0\);_([$$]* &quot;-&quot;??_);_(@_)" sourceLinked="1"/>
        <c:majorTickMark val="out"/>
        <c:minorTickMark val="none"/>
        <c:tickLblPos val="nextTo"/>
        <c:txPr>
          <a:bodyPr rot="0" vert="horz"/>
          <a:lstStyle/>
          <a:p>
            <a:pPr>
              <a:defRPr/>
            </a:pPr>
            <a:endParaRPr lang="en-US"/>
          </a:p>
        </c:txPr>
        <c:crossAx val="151202432"/>
        <c:crossesAt val="1"/>
        <c:crossBetween val="between"/>
      </c:valAx>
    </c:plotArea>
    <c:legend>
      <c:legendPos val="r"/>
      <c:layout>
        <c:manualLayout>
          <c:xMode val="edge"/>
          <c:yMode val="edge"/>
          <c:x val="0.55855314960629587"/>
          <c:y val="0.19651933078917502"/>
          <c:w val="0.31055555555555553"/>
          <c:h val="0.73348507217847769"/>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alignWithMargins="0"/>
    <c:pageMargins b="0.75000000000001243" l="0.70000000000000062" r="0.70000000000000062" t="0.75000000000001243" header="0.30000000000000032" footer="0.30000000000000032"/>
    <c:pageSetup paperSize="0" orientation="portrait" horizontalDpi="0" verticalDpi="0" copies="0"/>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chart>
    <c:title>
      <c:tx>
        <c:strRef>
          <c:f>ROI!$P$26</c:f>
          <c:strCache>
            <c:ptCount val="1"/>
            <c:pt idx="0">
              <c:v>Initiative Cost Summary
  (per User)</c:v>
            </c:pt>
          </c:strCache>
        </c:strRef>
      </c:tx>
      <c:overlay val="1"/>
      <c:txPr>
        <a:bodyPr/>
        <a:lstStyle/>
        <a:p>
          <a:pPr>
            <a:defRPr sz="1400"/>
          </a:pPr>
          <a:endParaRPr lang="en-US"/>
        </a:p>
      </c:txPr>
    </c:title>
    <c:autoTitleDeleted val="0"/>
    <c:plotArea>
      <c:layout>
        <c:manualLayout>
          <c:layoutTarget val="inner"/>
          <c:xMode val="edge"/>
          <c:yMode val="edge"/>
          <c:x val="0.23139048630157191"/>
          <c:y val="0.21806722076407201"/>
          <c:w val="0.34021134613075321"/>
          <c:h val="0.70450661752387556"/>
        </c:manualLayout>
      </c:layout>
      <c:barChart>
        <c:barDir val="col"/>
        <c:grouping val="stacked"/>
        <c:varyColors val="0"/>
        <c:ser>
          <c:idx val="0"/>
          <c:order val="0"/>
          <c:tx>
            <c:strRef>
              <c:f>ROI!$D$66</c:f>
              <c:strCache>
                <c:ptCount val="1"/>
                <c:pt idx="0">
                  <c:v>Hardware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ROI!$G$65</c:f>
              <c:strCache>
                <c:ptCount val="1"/>
                <c:pt idx="0">
                  <c:v>Project Total</c:v>
                </c:pt>
              </c:strCache>
            </c:strRef>
          </c:cat>
          <c:val>
            <c:numRef>
              <c:f>ROI!$G$66</c:f>
              <c:numCache>
                <c:formatCode>_([$$]* #,##0_);_([$$]* \(#,##0\);_([$$]* "-"??_);_(@_)</c:formatCode>
                <c:ptCount val="1"/>
                <c:pt idx="0">
                  <c:v>26.249999999999996</c:v>
                </c:pt>
              </c:numCache>
            </c:numRef>
          </c:val>
          <c:extLst>
            <c:ext xmlns:c16="http://schemas.microsoft.com/office/drawing/2014/chart" uri="{C3380CC4-5D6E-409C-BE32-E72D297353CC}">
              <c16:uniqueId val="{00000000-85AC-4640-A1C9-467C21610525}"/>
            </c:ext>
          </c:extLst>
        </c:ser>
        <c:ser>
          <c:idx val="1"/>
          <c:order val="1"/>
          <c:tx>
            <c:strRef>
              <c:f>ROI!$D$67</c:f>
              <c:strCache>
                <c:ptCount val="1"/>
                <c:pt idx="0">
                  <c:v>Software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ROI!$G$65</c:f>
              <c:strCache>
                <c:ptCount val="1"/>
                <c:pt idx="0">
                  <c:v>Project Total</c:v>
                </c:pt>
              </c:strCache>
            </c:strRef>
          </c:cat>
          <c:val>
            <c:numRef>
              <c:f>ROI!$G$67</c:f>
              <c:numCache>
                <c:formatCode>_([$$]* #,##0_);_([$$]* \(#,##0\);_([$$]* "-"??_);_(@_)</c:formatCode>
                <c:ptCount val="1"/>
                <c:pt idx="0">
                  <c:v>66.829166666666652</c:v>
                </c:pt>
              </c:numCache>
            </c:numRef>
          </c:val>
          <c:extLst>
            <c:ext xmlns:c16="http://schemas.microsoft.com/office/drawing/2014/chart" uri="{C3380CC4-5D6E-409C-BE32-E72D297353CC}">
              <c16:uniqueId val="{00000001-85AC-4640-A1C9-467C21610525}"/>
            </c:ext>
          </c:extLst>
        </c:ser>
        <c:ser>
          <c:idx val="2"/>
          <c:order val="2"/>
          <c:tx>
            <c:strRef>
              <c:f>ROI!$D$68</c:f>
              <c:strCache>
                <c:ptCount val="1"/>
                <c:pt idx="0">
                  <c:v>IT Labor, Services, &amp; Training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ROI!$G$65</c:f>
              <c:strCache>
                <c:ptCount val="1"/>
                <c:pt idx="0">
                  <c:v>Project Total</c:v>
                </c:pt>
              </c:strCache>
            </c:strRef>
          </c:cat>
          <c:val>
            <c:numRef>
              <c:f>ROI!$G$68</c:f>
              <c:numCache>
                <c:formatCode>_([$$]* #,##0_);_([$$]* \(#,##0\);_([$$]* "-"??_);_(@_)</c:formatCode>
                <c:ptCount val="1"/>
                <c:pt idx="0">
                  <c:v>34.097282748094742</c:v>
                </c:pt>
              </c:numCache>
            </c:numRef>
          </c:val>
          <c:extLst>
            <c:ext xmlns:c16="http://schemas.microsoft.com/office/drawing/2014/chart" uri="{C3380CC4-5D6E-409C-BE32-E72D297353CC}">
              <c16:uniqueId val="{00000002-85AC-4640-A1C9-467C21610525}"/>
            </c:ext>
          </c:extLst>
        </c:ser>
        <c:ser>
          <c:idx val="3"/>
          <c:order val="3"/>
          <c:tx>
            <c:strRef>
              <c:f>ROI!$D$69</c:f>
              <c:strCache>
                <c:ptCount val="1"/>
                <c:pt idx="0">
                  <c:v>End-User Labor &amp; Training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ROI!$G$65</c:f>
              <c:strCache>
                <c:ptCount val="1"/>
                <c:pt idx="0">
                  <c:v>Project Total</c:v>
                </c:pt>
              </c:strCache>
            </c:strRef>
          </c:cat>
          <c:val>
            <c:numRef>
              <c:f>ROI!$G$69</c:f>
              <c:numCache>
                <c:formatCode>_([$$]* #,##0_);_([$$]* \(#,##0\);_([$$]* "-"??_);_(@_)</c:formatCode>
                <c:ptCount val="1"/>
                <c:pt idx="0">
                  <c:v>22.080677594931196</c:v>
                </c:pt>
              </c:numCache>
            </c:numRef>
          </c:val>
          <c:extLst>
            <c:ext xmlns:c16="http://schemas.microsoft.com/office/drawing/2014/chart" uri="{C3380CC4-5D6E-409C-BE32-E72D297353CC}">
              <c16:uniqueId val="{00000003-85AC-4640-A1C9-467C21610525}"/>
            </c:ext>
          </c:extLst>
        </c:ser>
        <c:dLbls>
          <c:showLegendKey val="0"/>
          <c:showVal val="1"/>
          <c:showCatName val="0"/>
          <c:showSerName val="0"/>
          <c:showPercent val="0"/>
          <c:showBubbleSize val="0"/>
        </c:dLbls>
        <c:gapWidth val="150"/>
        <c:overlap val="100"/>
        <c:axId val="151331584"/>
        <c:axId val="151333120"/>
      </c:barChart>
      <c:catAx>
        <c:axId val="151331584"/>
        <c:scaling>
          <c:orientation val="minMax"/>
        </c:scaling>
        <c:delete val="1"/>
        <c:axPos val="b"/>
        <c:numFmt formatCode="General" sourceLinked="0"/>
        <c:majorTickMark val="out"/>
        <c:minorTickMark val="none"/>
        <c:tickLblPos val="none"/>
        <c:crossAx val="151333120"/>
        <c:crosses val="autoZero"/>
        <c:auto val="1"/>
        <c:lblAlgn val="ctr"/>
        <c:lblOffset val="100"/>
        <c:noMultiLvlLbl val="0"/>
      </c:catAx>
      <c:valAx>
        <c:axId val="151333120"/>
        <c:scaling>
          <c:orientation val="minMax"/>
        </c:scaling>
        <c:delete val="0"/>
        <c:axPos val="l"/>
        <c:majorGridlines/>
        <c:title>
          <c:tx>
            <c:strRef>
              <c:f>ROI!$P$27</c:f>
              <c:strCache>
                <c:ptCount val="1"/>
                <c:pt idx="0">
                  <c:v>Costs (per User)</c:v>
                </c:pt>
              </c:strCache>
            </c:strRef>
          </c:tx>
          <c:overlay val="0"/>
          <c:txPr>
            <a:bodyPr rot="-5400000" vert="horz"/>
            <a:lstStyle/>
            <a:p>
              <a:pPr>
                <a:defRPr/>
              </a:pPr>
              <a:endParaRPr lang="en-US"/>
            </a:p>
          </c:txPr>
        </c:title>
        <c:numFmt formatCode="_([$$]* #,##0_);_([$$]* \(#,##0\);_([$$]* &quot;-&quot;??_);_(@_)" sourceLinked="1"/>
        <c:majorTickMark val="out"/>
        <c:minorTickMark val="none"/>
        <c:tickLblPos val="nextTo"/>
        <c:crossAx val="151331584"/>
        <c:crosses val="autoZero"/>
        <c:crossBetween val="between"/>
      </c:valAx>
    </c:plotArea>
    <c:legend>
      <c:legendPos val="r"/>
      <c:layout>
        <c:manualLayout>
          <c:xMode val="edge"/>
          <c:yMode val="edge"/>
          <c:x val="0.57723023386121686"/>
          <c:y val="0.19753864100320792"/>
          <c:w val="0.40029785602642176"/>
          <c:h val="0.73522183221073911"/>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3" l="0.70000000000000062" r="0.70000000000000062" t="0.750000000000003"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9"/>
    </mc:Choice>
    <mc:Fallback>
      <c:style val="29"/>
    </mc:Fallback>
  </mc:AlternateContent>
  <c:chart>
    <c:title>
      <c:tx>
        <c:strRef>
          <c:f>ROI!$Q$26</c:f>
          <c:strCache>
            <c:ptCount val="1"/>
            <c:pt idx="0">
              <c:v>Initiative Benefit Summary
  (per User)</c:v>
            </c:pt>
          </c:strCache>
        </c:strRef>
      </c:tx>
      <c:overlay val="1"/>
      <c:txPr>
        <a:bodyPr/>
        <a:lstStyle/>
        <a:p>
          <a:pPr>
            <a:defRPr sz="1400"/>
          </a:pPr>
          <a:endParaRPr lang="en-US"/>
        </a:p>
      </c:txPr>
    </c:title>
    <c:autoTitleDeleted val="0"/>
    <c:plotArea>
      <c:layout>
        <c:manualLayout>
          <c:layoutTarget val="inner"/>
          <c:xMode val="edge"/>
          <c:yMode val="edge"/>
          <c:x val="0.26808768170033798"/>
          <c:y val="0.21806722076407206"/>
          <c:w val="0.33613394655943241"/>
          <c:h val="0.70066417002752701"/>
        </c:manualLayout>
      </c:layout>
      <c:barChart>
        <c:barDir val="col"/>
        <c:grouping val="stacked"/>
        <c:varyColors val="0"/>
        <c:ser>
          <c:idx val="0"/>
          <c:order val="0"/>
          <c:tx>
            <c:strRef>
              <c:f>ROI!$D$77</c:f>
              <c:strCache>
                <c:ptCount val="1"/>
                <c:pt idx="0">
                  <c:v>IT Spending/TCO Savings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ROI!$G$77</c:f>
              <c:numCache>
                <c:formatCode>_([$$]* #,##0_);_([$$]* \(#,##0\);_([$$]* "-"??_);_(@_)</c:formatCode>
                <c:ptCount val="1"/>
                <c:pt idx="0">
                  <c:v>483.48524812665181</c:v>
                </c:pt>
              </c:numCache>
            </c:numRef>
          </c:val>
          <c:extLst>
            <c:ext xmlns:c16="http://schemas.microsoft.com/office/drawing/2014/chart" uri="{C3380CC4-5D6E-409C-BE32-E72D297353CC}">
              <c16:uniqueId val="{00000000-AF77-4B2E-988F-8274C5BB6996}"/>
            </c:ext>
          </c:extLst>
        </c:ser>
        <c:ser>
          <c:idx val="1"/>
          <c:order val="1"/>
          <c:tx>
            <c:strRef>
              <c:f>ROI!$D$78</c:f>
              <c:strCache>
                <c:ptCount val="1"/>
                <c:pt idx="0">
                  <c:v>Other Direct Cost Savings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ROI!$G$78</c:f>
              <c:numCache>
                <c:formatCode>_([$$]* #,##0_);_([$$]* \(#,##0\);_([$$]* "-"??_);_(@_)</c:formatCode>
                <c:ptCount val="1"/>
                <c:pt idx="0">
                  <c:v>33.649808750000005</c:v>
                </c:pt>
              </c:numCache>
            </c:numRef>
          </c:val>
          <c:extLst>
            <c:ext xmlns:c16="http://schemas.microsoft.com/office/drawing/2014/chart" uri="{C3380CC4-5D6E-409C-BE32-E72D297353CC}">
              <c16:uniqueId val="{00000003-B7C4-4C52-8F02-C5235A80B055}"/>
            </c:ext>
          </c:extLst>
        </c:ser>
        <c:ser>
          <c:idx val="2"/>
          <c:order val="2"/>
          <c:tx>
            <c:strRef>
              <c:f>ROI!$D$79</c:f>
              <c:strCache>
                <c:ptCount val="1"/>
                <c:pt idx="0">
                  <c:v>User Productivity Benefits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ROI!$G$79</c:f>
              <c:numCache>
                <c:formatCode>_([$$]* #,##0_);_([$$]* \(#,##0\);_([$$]* "-"??_);_(@_)</c:formatCode>
                <c:ptCount val="1"/>
                <c:pt idx="0">
                  <c:v>401.71674753961111</c:v>
                </c:pt>
              </c:numCache>
            </c:numRef>
          </c:val>
          <c:extLst>
            <c:ext xmlns:c16="http://schemas.microsoft.com/office/drawing/2014/chart" uri="{C3380CC4-5D6E-409C-BE32-E72D297353CC}">
              <c16:uniqueId val="{00000004-B7C4-4C52-8F02-C5235A80B055}"/>
            </c:ext>
          </c:extLst>
        </c:ser>
        <c:ser>
          <c:idx val="3"/>
          <c:order val="3"/>
          <c:tx>
            <c:strRef>
              <c:f>ROI!$D$80</c:f>
              <c:strCache>
                <c:ptCount val="1"/>
                <c:pt idx="0">
                  <c:v>Revenue Growth</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ROI!$G$80</c:f>
              <c:numCache>
                <c:formatCode>_([$$]* #,##0_);_([$$]* \(#,##0\);_([$$]* "-"??_);_(@_)</c:formatCode>
                <c:ptCount val="1"/>
                <c:pt idx="0">
                  <c:v>138.20688772568315</c:v>
                </c:pt>
              </c:numCache>
            </c:numRef>
          </c:val>
          <c:extLst>
            <c:ext xmlns:c16="http://schemas.microsoft.com/office/drawing/2014/chart" uri="{C3380CC4-5D6E-409C-BE32-E72D297353CC}">
              <c16:uniqueId val="{00000005-B7C4-4C52-8F02-C5235A80B055}"/>
            </c:ext>
          </c:extLst>
        </c:ser>
        <c:dLbls>
          <c:showLegendKey val="0"/>
          <c:showVal val="1"/>
          <c:showCatName val="0"/>
          <c:showSerName val="0"/>
          <c:showPercent val="0"/>
          <c:showBubbleSize val="0"/>
        </c:dLbls>
        <c:gapWidth val="150"/>
        <c:overlap val="100"/>
        <c:axId val="151464576"/>
        <c:axId val="151474560"/>
      </c:barChart>
      <c:catAx>
        <c:axId val="151464576"/>
        <c:scaling>
          <c:orientation val="minMax"/>
        </c:scaling>
        <c:delete val="1"/>
        <c:axPos val="b"/>
        <c:numFmt formatCode="General" sourceLinked="0"/>
        <c:majorTickMark val="out"/>
        <c:minorTickMark val="none"/>
        <c:tickLblPos val="none"/>
        <c:crossAx val="151474560"/>
        <c:crosses val="autoZero"/>
        <c:auto val="1"/>
        <c:lblAlgn val="ctr"/>
        <c:lblOffset val="100"/>
        <c:noMultiLvlLbl val="0"/>
      </c:catAx>
      <c:valAx>
        <c:axId val="151474560"/>
        <c:scaling>
          <c:orientation val="minMax"/>
        </c:scaling>
        <c:delete val="0"/>
        <c:axPos val="l"/>
        <c:majorGridlines/>
        <c:title>
          <c:tx>
            <c:strRef>
              <c:f>ROI!$Q$27</c:f>
              <c:strCache>
                <c:ptCount val="1"/>
                <c:pt idx="0">
                  <c:v>Benefits (per User)</c:v>
                </c:pt>
              </c:strCache>
            </c:strRef>
          </c:tx>
          <c:overlay val="0"/>
          <c:txPr>
            <a:bodyPr rot="-5400000" vert="horz"/>
            <a:lstStyle/>
            <a:p>
              <a:pPr>
                <a:defRPr/>
              </a:pPr>
              <a:endParaRPr lang="en-US"/>
            </a:p>
          </c:txPr>
        </c:title>
        <c:numFmt formatCode="_([$$]* #,##0_);_([$$]* \(#,##0\);_([$$]* &quot;-&quot;??_);_(@_)" sourceLinked="1"/>
        <c:majorTickMark val="out"/>
        <c:minorTickMark val="none"/>
        <c:tickLblPos val="nextTo"/>
        <c:crossAx val="151464576"/>
        <c:crosses val="autoZero"/>
        <c:crossBetween val="between"/>
      </c:valAx>
    </c:plotArea>
    <c:legend>
      <c:legendPos val="r"/>
      <c:layout>
        <c:manualLayout>
          <c:xMode val="edge"/>
          <c:yMode val="edge"/>
          <c:x val="0.60985014487867961"/>
          <c:y val="0.19753864100320792"/>
          <c:w val="0.33253471521188055"/>
          <c:h val="0.68562319953908202"/>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322" l="0.70000000000000062" r="0.70000000000000062" t="0.75000000000000322"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Direct Cost Savings</a:t>
            </a:r>
          </a:p>
        </c:rich>
      </c:tx>
      <c:layout>
        <c:manualLayout>
          <c:xMode val="edge"/>
          <c:yMode val="edge"/>
          <c:x val="0.22683179677917145"/>
          <c:y val="8.9327602165672395E-3"/>
        </c:manualLayout>
      </c:layout>
      <c:overlay val="0"/>
    </c:title>
    <c:autoTitleDeleted val="0"/>
    <c:plotArea>
      <c:layout>
        <c:manualLayout>
          <c:layoutTarget val="inner"/>
          <c:xMode val="edge"/>
          <c:yMode val="edge"/>
          <c:x val="0.24028176805768134"/>
          <c:y val="0.1115049386942569"/>
          <c:w val="0.30107624737862826"/>
          <c:h val="0.79648547554744054"/>
        </c:manualLayout>
      </c:layout>
      <c:barChart>
        <c:barDir val="col"/>
        <c:grouping val="stacked"/>
        <c:varyColors val="0"/>
        <c:ser>
          <c:idx val="0"/>
          <c:order val="0"/>
          <c:tx>
            <c:strRef>
              <c:f>'Direct Savings'!$D$7</c:f>
              <c:strCache>
                <c:ptCount val="1"/>
                <c:pt idx="0">
                  <c:v>Software - Clients</c:v>
                </c:pt>
              </c:strCache>
            </c:strRef>
          </c:tx>
          <c:invertIfNegative val="0"/>
          <c:dLbls>
            <c:numFmt formatCode="_(\$* #,##0_);_(\$* \(#,##0\);_(\$* &quot;-&quot;??_);_(@_)"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'Direct Savings'!$J$6</c:f>
              <c:strCache>
                <c:ptCount val="1"/>
                <c:pt idx="0">
                  <c:v>Project Total</c:v>
                </c:pt>
              </c:strCache>
            </c:strRef>
          </c:cat>
          <c:val>
            <c:numRef>
              <c:f>'Direct Savings'!$J$7</c:f>
              <c:numCache>
                <c:formatCode>_([$$]* #,##0_);_([$$]* \(#,##0\);_([$$]* "-"??_);_(@_)</c:formatCode>
                <c:ptCount val="1"/>
                <c:pt idx="0">
                  <c:v>7.8837499999999991</c:v>
                </c:pt>
              </c:numCache>
            </c:numRef>
          </c:val>
          <c:extLst>
            <c:ext xmlns:c16="http://schemas.microsoft.com/office/drawing/2014/chart" uri="{C3380CC4-5D6E-409C-BE32-E72D297353CC}">
              <c16:uniqueId val="{00000000-99B3-4DD9-A708-21BA5F1A5BA8}"/>
            </c:ext>
          </c:extLst>
        </c:ser>
        <c:ser>
          <c:idx val="1"/>
          <c:order val="1"/>
          <c:tx>
            <c:strRef>
              <c:f>'Direct Savings'!$D$8</c:f>
              <c:strCache>
                <c:ptCount val="1"/>
                <c:pt idx="0">
                  <c:v>Software - Servers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'Direct Savings'!$J$6</c:f>
              <c:strCache>
                <c:ptCount val="1"/>
                <c:pt idx="0">
                  <c:v>Project Total</c:v>
                </c:pt>
              </c:strCache>
            </c:strRef>
          </c:cat>
          <c:val>
            <c:numRef>
              <c:f>'Direct Savings'!$J$8</c:f>
              <c:numCache>
                <c:formatCode>_([$$]* #,##0_);_([$$]* \(#,##0\);_([$$]* "-"??_);_(@_)</c:formatCode>
                <c:ptCount val="1"/>
                <c:pt idx="0">
                  <c:v>5.2237500000000008</c:v>
                </c:pt>
              </c:numCache>
            </c:numRef>
          </c:val>
          <c:extLst>
            <c:ext xmlns:c16="http://schemas.microsoft.com/office/drawing/2014/chart" uri="{C3380CC4-5D6E-409C-BE32-E72D297353CC}">
              <c16:uniqueId val="{00000001-99B3-4DD9-A708-21BA5F1A5BA8}"/>
            </c:ext>
          </c:extLst>
        </c:ser>
        <c:ser>
          <c:idx val="2"/>
          <c:order val="2"/>
          <c:tx>
            <c:strRef>
              <c:f>'Direct Savings'!$D$9</c:f>
              <c:strCache>
                <c:ptCount val="1"/>
                <c:pt idx="0">
                  <c:v>Hardware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'Direct Savings'!$J$6</c:f>
              <c:strCache>
                <c:ptCount val="1"/>
                <c:pt idx="0">
                  <c:v>Project Total</c:v>
                </c:pt>
              </c:strCache>
            </c:strRef>
          </c:cat>
          <c:val>
            <c:numRef>
              <c:f>'Direct Savings'!$J$9</c:f>
              <c:numCache>
                <c:formatCode>_([$$]* #,##0_);_([$$]* \(#,##0\);_([$$]* "-"??_);_(@_)</c:formatCode>
                <c:ptCount val="1"/>
                <c:pt idx="0">
                  <c:v>4.7249999999999996</c:v>
                </c:pt>
              </c:numCache>
            </c:numRef>
          </c:val>
          <c:extLst>
            <c:ext xmlns:c16="http://schemas.microsoft.com/office/drawing/2014/chart" uri="{C3380CC4-5D6E-409C-BE32-E72D297353CC}">
              <c16:uniqueId val="{00000002-99B3-4DD9-A708-21BA5F1A5BA8}"/>
            </c:ext>
          </c:extLst>
        </c:ser>
        <c:ser>
          <c:idx val="3"/>
          <c:order val="3"/>
          <c:tx>
            <c:strRef>
              <c:f>'Direct Savings'!$D$10</c:f>
              <c:strCache>
                <c:ptCount val="1"/>
                <c:pt idx="0">
                  <c:v>IT Services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'Direct Savings'!$J$6</c:f>
              <c:strCache>
                <c:ptCount val="1"/>
                <c:pt idx="0">
                  <c:v>Project Total</c:v>
                </c:pt>
              </c:strCache>
            </c:strRef>
          </c:cat>
          <c:val>
            <c:numRef>
              <c:f>'Direct Savings'!$J$10</c:f>
              <c:numCache>
                <c:formatCode>_([$$]* #,##0_);_([$$]* \(#,##0\);_([$$]* "-"??_);_(@_)</c:formatCode>
                <c:ptCount val="1"/>
                <c:pt idx="0">
                  <c:v>3</c:v>
                </c:pt>
              </c:numCache>
            </c:numRef>
          </c:val>
          <c:extLst>
            <c:ext xmlns:c16="http://schemas.microsoft.com/office/drawing/2014/chart" uri="{C3380CC4-5D6E-409C-BE32-E72D297353CC}">
              <c16:uniqueId val="{00000003-99B3-4DD9-A708-21BA5F1A5BA8}"/>
            </c:ext>
          </c:extLst>
        </c:ser>
        <c:ser>
          <c:idx val="4"/>
          <c:order val="4"/>
          <c:tx>
            <c:strRef>
              <c:f>'Direct Savings'!$D$11</c:f>
              <c:strCache>
                <c:ptCount val="1"/>
                <c:pt idx="0">
                  <c:v>Power/Electricity Usage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'Direct Savings'!$J$6</c:f>
              <c:strCache>
                <c:ptCount val="1"/>
                <c:pt idx="0">
                  <c:v>Project Total</c:v>
                </c:pt>
              </c:strCache>
            </c:strRef>
          </c:cat>
          <c:val>
            <c:numRef>
              <c:f>'Direct Savings'!$J$11</c:f>
              <c:numCache>
                <c:formatCode>_([$$]* #,##0_);_([$$]* \(#,##0\);_([$$]* "-"??_);_(@_)</c:formatCode>
                <c:ptCount val="1"/>
                <c:pt idx="0">
                  <c:v>7.9423087500000014</c:v>
                </c:pt>
              </c:numCache>
            </c:numRef>
          </c:val>
          <c:extLst>
            <c:ext xmlns:c16="http://schemas.microsoft.com/office/drawing/2014/chart" uri="{C3380CC4-5D6E-409C-BE32-E72D297353CC}">
              <c16:uniqueId val="{00000004-99B3-4DD9-A708-21BA5F1A5BA8}"/>
            </c:ext>
          </c:extLst>
        </c:ser>
        <c:ser>
          <c:idx val="5"/>
          <c:order val="5"/>
          <c:tx>
            <c:strRef>
              <c:f>'Direct Savings'!$D$12</c:f>
              <c:strCache>
                <c:ptCount val="1"/>
                <c:pt idx="0">
                  <c:v>Other IT Costs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'Direct Savings'!$J$6</c:f>
              <c:strCache>
                <c:ptCount val="1"/>
                <c:pt idx="0">
                  <c:v>Project Total</c:v>
                </c:pt>
              </c:strCache>
            </c:strRef>
          </c:cat>
          <c:val>
            <c:numRef>
              <c:f>'Direct Savings'!$J$12</c:f>
              <c:numCache>
                <c:formatCode>_([$$]* #,##0_);_([$$]* \(#,##0\);_([$$]* "-"??_);_(@_)</c:formatCode>
                <c:ptCount val="1"/>
                <c:pt idx="0">
                  <c:v>4.875</c:v>
                </c:pt>
              </c:numCache>
            </c:numRef>
          </c:val>
          <c:extLst>
            <c:ext xmlns:c16="http://schemas.microsoft.com/office/drawing/2014/chart" uri="{C3380CC4-5D6E-409C-BE32-E72D297353CC}">
              <c16:uniqueId val="{00000005-99B3-4DD9-A708-21BA5F1A5BA8}"/>
            </c:ext>
          </c:extLst>
        </c:ser>
        <c:ser>
          <c:idx val="6"/>
          <c:order val="6"/>
          <c:tx>
            <c:strRef>
              <c:f>'Direct Savings'!$D$16</c:f>
              <c:strCache>
                <c:ptCount val="1"/>
                <c:pt idx="0">
                  <c:v>Travel Expenses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'Direct Savings'!$J$6</c:f>
              <c:strCache>
                <c:ptCount val="1"/>
                <c:pt idx="0">
                  <c:v>Project Total</c:v>
                </c:pt>
              </c:strCache>
            </c:strRef>
          </c:cat>
          <c:val>
            <c:numRef>
              <c:f>'Direct Savings'!$J$16</c:f>
              <c:numCache>
                <c:formatCode>_([$$]* #,##0_);_([$$]* \(#,##0\);_([$$]* "-"??_);_(@_)</c:formatCode>
                <c:ptCount val="1"/>
                <c:pt idx="0">
                  <c:v>0</c:v>
                </c:pt>
              </c:numCache>
            </c:numRef>
          </c:val>
          <c:extLst>
            <c:ext xmlns:c16="http://schemas.microsoft.com/office/drawing/2014/chart" uri="{C3380CC4-5D6E-409C-BE32-E72D297353CC}">
              <c16:uniqueId val="{00000006-99B3-4DD9-A708-21BA5F1A5BA8}"/>
            </c:ext>
          </c:extLst>
        </c:ser>
        <c:ser>
          <c:idx val="7"/>
          <c:order val="7"/>
          <c:tx>
            <c:strRef>
              <c:f>'Direct Savings'!$D$17</c:f>
              <c:strCache>
                <c:ptCount val="1"/>
                <c:pt idx="0">
                  <c:v>Business Services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'Direct Savings'!$J$6</c:f>
              <c:strCache>
                <c:ptCount val="1"/>
                <c:pt idx="0">
                  <c:v>Project Total</c:v>
                </c:pt>
              </c:strCache>
            </c:strRef>
          </c:cat>
          <c:val>
            <c:numRef>
              <c:f>'Direct Savings'!$J$17</c:f>
              <c:numCache>
                <c:formatCode>_([$$]* #,##0_);_([$$]* \(#,##0\);_([$$]* "-"??_);_(@_)</c:formatCode>
                <c:ptCount val="1"/>
                <c:pt idx="0">
                  <c:v>0</c:v>
                </c:pt>
              </c:numCache>
            </c:numRef>
          </c:val>
          <c:extLst>
            <c:ext xmlns:c16="http://schemas.microsoft.com/office/drawing/2014/chart" uri="{C3380CC4-5D6E-409C-BE32-E72D297353CC}">
              <c16:uniqueId val="{00000007-99B3-4DD9-A708-21BA5F1A5BA8}"/>
            </c:ext>
          </c:extLst>
        </c:ser>
        <c:ser>
          <c:idx val="8"/>
          <c:order val="8"/>
          <c:tx>
            <c:strRef>
              <c:f>'Direct Savings'!$D$18</c:f>
              <c:strCache>
                <c:ptCount val="1"/>
                <c:pt idx="0">
                  <c:v>Other Business Expenses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'Direct Savings'!$J$6</c:f>
              <c:strCache>
                <c:ptCount val="1"/>
                <c:pt idx="0">
                  <c:v>Project Total</c:v>
                </c:pt>
              </c:strCache>
            </c:strRef>
          </c:cat>
          <c:val>
            <c:numRef>
              <c:f>'Direct Savings'!$J$18</c:f>
              <c:numCache>
                <c:formatCode>_([$$]* #,##0_);_([$$]* \(#,##0\);_([$$]* "-"??_);_(@_)</c:formatCode>
                <c:ptCount val="1"/>
                <c:pt idx="0">
                  <c:v>0</c:v>
                </c:pt>
              </c:numCache>
            </c:numRef>
          </c:val>
          <c:extLst>
            <c:ext xmlns:c16="http://schemas.microsoft.com/office/drawing/2014/chart" uri="{C3380CC4-5D6E-409C-BE32-E72D297353CC}">
              <c16:uniqueId val="{00000008-99B3-4DD9-A708-21BA5F1A5BA8}"/>
            </c:ext>
          </c:extLst>
        </c:ser>
        <c:dLbls>
          <c:showLegendKey val="0"/>
          <c:showVal val="1"/>
          <c:showCatName val="0"/>
          <c:showSerName val="0"/>
          <c:showPercent val="0"/>
          <c:showBubbleSize val="0"/>
        </c:dLbls>
        <c:gapWidth val="150"/>
        <c:overlap val="100"/>
        <c:axId val="151546496"/>
        <c:axId val="151568768"/>
      </c:barChart>
      <c:catAx>
        <c:axId val="151546496"/>
        <c:scaling>
          <c:orientation val="minMax"/>
        </c:scaling>
        <c:delete val="0"/>
        <c:axPos val="b"/>
        <c:numFmt formatCode="General" sourceLinked="0"/>
        <c:majorTickMark val="out"/>
        <c:minorTickMark val="none"/>
        <c:tickLblPos val="nextTo"/>
        <c:crossAx val="151568768"/>
        <c:crosses val="autoZero"/>
        <c:auto val="1"/>
        <c:lblAlgn val="ctr"/>
        <c:lblOffset val="100"/>
        <c:noMultiLvlLbl val="1"/>
      </c:catAx>
      <c:valAx>
        <c:axId val="151568768"/>
        <c:scaling>
          <c:orientation val="minMax"/>
        </c:scaling>
        <c:delete val="0"/>
        <c:axPos val="l"/>
        <c:majorGridlines/>
        <c:title>
          <c:tx>
            <c:rich>
              <a:bodyPr/>
              <a:lstStyle/>
              <a:p>
                <a:pPr>
                  <a:defRPr/>
                </a:pPr>
                <a:r>
                  <a:rPr lang="en-US"/>
                  <a:t>Benefit (per PC)</a:t>
                </a:r>
              </a:p>
            </c:rich>
          </c:tx>
          <c:layout>
            <c:manualLayout>
              <c:xMode val="edge"/>
              <c:yMode val="edge"/>
              <c:x val="3.0084177330941E-2"/>
              <c:y val="0.27820708852071424"/>
            </c:manualLayout>
          </c:layout>
          <c:overlay val="0"/>
        </c:title>
        <c:numFmt formatCode="_([$$]* #,##0_);_([$$]* \(#,##0\);_([$$]* &quot;-&quot;??_);_(@_)" sourceLinked="1"/>
        <c:majorTickMark val="out"/>
        <c:minorTickMark val="none"/>
        <c:tickLblPos val="nextTo"/>
        <c:txPr>
          <a:bodyPr rot="0" vert="horz"/>
          <a:lstStyle/>
          <a:p>
            <a:pPr>
              <a:defRPr/>
            </a:pPr>
            <a:endParaRPr lang="en-US"/>
          </a:p>
        </c:txPr>
        <c:crossAx val="151546496"/>
        <c:crossesAt val="1"/>
        <c:crossBetween val="between"/>
      </c:valAx>
    </c:plotArea>
    <c:legend>
      <c:legendPos val="r"/>
      <c:layout>
        <c:manualLayout>
          <c:xMode val="edge"/>
          <c:yMode val="edge"/>
          <c:x val="0.55935768079241044"/>
          <c:y val="0.15691114881826493"/>
          <c:w val="0.42163758424669284"/>
          <c:h val="0.77721936931796121"/>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alignWithMargins="0"/>
    <c:pageMargins b="0.75000000000000999" l="0.70000000000000062" r="0.70000000000000062" t="0.75000000000000999" header="0.30000000000000032" footer="0.30000000000000032"/>
    <c:pageSetup paperSize="0" orientation="portrait" horizontalDpi="0" verticalDpi="0" copies="0"/>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hart>
    <c:title>
      <c:tx>
        <c:rich>
          <a:bodyPr/>
          <a:lstStyle/>
          <a:p>
            <a:pPr>
              <a:defRPr/>
            </a:pPr>
            <a:r>
              <a:rPr lang="en-US"/>
              <a:t>Time per Activity</a:t>
            </a:r>
          </a:p>
        </c:rich>
      </c:tx>
      <c:overlay val="0"/>
    </c:title>
    <c:autoTitleDeleted val="0"/>
    <c:plotArea>
      <c:layout/>
      <c:barChart>
        <c:barDir val="bar"/>
        <c:grouping val="clustered"/>
        <c:varyColors val="0"/>
        <c:ser>
          <c:idx val="0"/>
          <c:order val="0"/>
          <c:tx>
            <c:strRef>
              <c:f>Productivity!$M$203</c:f>
              <c:strCache>
                <c:ptCount val="1"/>
                <c:pt idx="0">
                  <c:v>As-Is</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Productivity!$D$229:$D$232</c:f>
              <c:strCache>
                <c:ptCount val="4"/>
                <c:pt idx="0">
                  <c:v>Individual Computing</c:v>
                </c:pt>
                <c:pt idx="1">
                  <c:v>Collaborative Computing</c:v>
                </c:pt>
                <c:pt idx="2">
                  <c:v>PC Systems Management</c:v>
                </c:pt>
                <c:pt idx="3">
                  <c:v>Non-Computing-Related Activities</c:v>
                </c:pt>
              </c:strCache>
            </c:strRef>
          </c:cat>
          <c:val>
            <c:numRef>
              <c:f>Productivity!$M$229:$M$232</c:f>
              <c:numCache>
                <c:formatCode>0.0</c:formatCode>
                <c:ptCount val="4"/>
                <c:pt idx="0">
                  <c:v>10.834965473826065</c:v>
                </c:pt>
                <c:pt idx="1">
                  <c:v>3.8593046490499612</c:v>
                </c:pt>
                <c:pt idx="2">
                  <c:v>1.0134270122876028</c:v>
                </c:pt>
                <c:pt idx="3">
                  <c:v>19.369225941759453</c:v>
                </c:pt>
              </c:numCache>
            </c:numRef>
          </c:val>
          <c:extLst>
            <c:ext xmlns:c16="http://schemas.microsoft.com/office/drawing/2014/chart" uri="{C3380CC4-5D6E-409C-BE32-E72D297353CC}">
              <c16:uniqueId val="{00000000-765E-4663-8223-83407434F8EE}"/>
            </c:ext>
          </c:extLst>
        </c:ser>
        <c:ser>
          <c:idx val="1"/>
          <c:order val="1"/>
          <c:tx>
            <c:strRef>
              <c:f>Productivity!$N$203</c:f>
              <c:strCache>
                <c:ptCount val="1"/>
                <c:pt idx="0">
                  <c:v>To-Be</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Productivity!$D$229:$D$232</c:f>
              <c:strCache>
                <c:ptCount val="4"/>
                <c:pt idx="0">
                  <c:v>Individual Computing</c:v>
                </c:pt>
                <c:pt idx="1">
                  <c:v>Collaborative Computing</c:v>
                </c:pt>
                <c:pt idx="2">
                  <c:v>PC Systems Management</c:v>
                </c:pt>
                <c:pt idx="3">
                  <c:v>Non-Computing-Related Activities</c:v>
                </c:pt>
              </c:strCache>
            </c:strRef>
          </c:cat>
          <c:val>
            <c:numRef>
              <c:f>Productivity!$N$229:$N$232</c:f>
              <c:numCache>
                <c:formatCode>0.0</c:formatCode>
                <c:ptCount val="4"/>
                <c:pt idx="0">
                  <c:v>10.796837944725921</c:v>
                </c:pt>
                <c:pt idx="1">
                  <c:v>3.8593046490499612</c:v>
                </c:pt>
                <c:pt idx="2">
                  <c:v>0.98333592041893791</c:v>
                </c:pt>
                <c:pt idx="3">
                  <c:v>19.369225941759453</c:v>
                </c:pt>
              </c:numCache>
            </c:numRef>
          </c:val>
          <c:extLst>
            <c:ext xmlns:c16="http://schemas.microsoft.com/office/drawing/2014/chart" uri="{C3380CC4-5D6E-409C-BE32-E72D297353CC}">
              <c16:uniqueId val="{00000001-765E-4663-8223-83407434F8EE}"/>
            </c:ext>
          </c:extLst>
        </c:ser>
        <c:dLbls>
          <c:showLegendKey val="0"/>
          <c:showVal val="1"/>
          <c:showCatName val="0"/>
          <c:showSerName val="0"/>
          <c:showPercent val="0"/>
          <c:showBubbleSize val="0"/>
        </c:dLbls>
        <c:gapWidth val="150"/>
        <c:axId val="151583360"/>
        <c:axId val="151593344"/>
      </c:barChart>
      <c:catAx>
        <c:axId val="151583360"/>
        <c:scaling>
          <c:orientation val="maxMin"/>
        </c:scaling>
        <c:delete val="0"/>
        <c:axPos val="l"/>
        <c:numFmt formatCode="General" sourceLinked="0"/>
        <c:majorTickMark val="none"/>
        <c:minorTickMark val="none"/>
        <c:tickLblPos val="nextTo"/>
        <c:crossAx val="151593344"/>
        <c:crosses val="autoZero"/>
        <c:auto val="1"/>
        <c:lblAlgn val="ctr"/>
        <c:lblOffset val="100"/>
        <c:noMultiLvlLbl val="0"/>
      </c:catAx>
      <c:valAx>
        <c:axId val="151593344"/>
        <c:scaling>
          <c:orientation val="minMax"/>
        </c:scaling>
        <c:delete val="0"/>
        <c:axPos val="t"/>
        <c:majorGridlines/>
        <c:title>
          <c:tx>
            <c:rich>
              <a:bodyPr/>
              <a:lstStyle/>
              <a:p>
                <a:pPr>
                  <a:defRPr/>
                </a:pPr>
                <a:r>
                  <a:rPr lang="en-US"/>
                  <a:t>Time (Hours / Week)</a:t>
                </a:r>
              </a:p>
            </c:rich>
          </c:tx>
          <c:overlay val="0"/>
        </c:title>
        <c:numFmt formatCode="0" sourceLinked="0"/>
        <c:majorTickMark val="none"/>
        <c:minorTickMark val="none"/>
        <c:tickLblPos val="nextTo"/>
        <c:crossAx val="151583360"/>
        <c:crosses val="autoZero"/>
        <c:crossBetween val="between"/>
      </c:valAx>
    </c:plotArea>
    <c:legend>
      <c:legendPos val="r"/>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544" l="0.70000000000000062" r="0.70000000000000062" t="0.75000000000000544"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Annual Revenue Growth (Margin)</a:t>
            </a:r>
          </a:p>
        </c:rich>
      </c:tx>
      <c:layout>
        <c:manualLayout>
          <c:xMode val="edge"/>
          <c:yMode val="edge"/>
          <c:x val="0.19462949771865315"/>
          <c:y val="3.8609488330087774E-2"/>
        </c:manualLayout>
      </c:layout>
      <c:overlay val="0"/>
    </c:title>
    <c:autoTitleDeleted val="0"/>
    <c:plotArea>
      <c:layout>
        <c:manualLayout>
          <c:layoutTarget val="inner"/>
          <c:xMode val="edge"/>
          <c:yMode val="edge"/>
          <c:x val="0.23925708699902373"/>
          <c:y val="0.1733218570350771"/>
          <c:w val="0.24524362127690041"/>
          <c:h val="0.68090844016399066"/>
        </c:manualLayout>
      </c:layout>
      <c:barChart>
        <c:barDir val="col"/>
        <c:grouping val="stacked"/>
        <c:varyColors val="0"/>
        <c:ser>
          <c:idx val="0"/>
          <c:order val="0"/>
          <c:tx>
            <c:strRef>
              <c:f>Revenue!$B$21</c:f>
              <c:strCache>
                <c:ptCount val="1"/>
                <c:pt idx="0">
                  <c:v>Improved Sales Effectiveness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Revenue!$H$20</c:f>
              <c:strCache>
                <c:ptCount val="1"/>
                <c:pt idx="0">
                  <c:v>Benefit 
(per User)</c:v>
                </c:pt>
              </c:strCache>
            </c:strRef>
          </c:cat>
          <c:val>
            <c:numRef>
              <c:f>Revenue!$H$21</c:f>
              <c:numCache>
                <c:formatCode>_([$$]* #,##0_);_([$$]* \(#,##0\);_([$$]* "-"_);_(@_)</c:formatCode>
                <c:ptCount val="1"/>
                <c:pt idx="0">
                  <c:v>0</c:v>
                </c:pt>
              </c:numCache>
            </c:numRef>
          </c:val>
          <c:extLst>
            <c:ext xmlns:c16="http://schemas.microsoft.com/office/drawing/2014/chart" uri="{C3380CC4-5D6E-409C-BE32-E72D297353CC}">
              <c16:uniqueId val="{00000000-E8D8-494D-9C39-D98540C4A869}"/>
            </c:ext>
          </c:extLst>
        </c:ser>
        <c:ser>
          <c:idx val="1"/>
          <c:order val="1"/>
          <c:tx>
            <c:strRef>
              <c:f>Revenue!$B$22</c:f>
              <c:strCache>
                <c:ptCount val="1"/>
                <c:pt idx="0">
                  <c:v>Improved Marketing Effectiveness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Revenue!$H$20</c:f>
              <c:strCache>
                <c:ptCount val="1"/>
                <c:pt idx="0">
                  <c:v>Benefit 
(per User)</c:v>
                </c:pt>
              </c:strCache>
            </c:strRef>
          </c:cat>
          <c:val>
            <c:numRef>
              <c:f>Revenue!$H$22</c:f>
              <c:numCache>
                <c:formatCode>_([$$]* #,##0_);_([$$]* \(#,##0\);_([$$]* "-"_);_(@_)</c:formatCode>
                <c:ptCount val="1"/>
                <c:pt idx="0">
                  <c:v>0</c:v>
                </c:pt>
              </c:numCache>
            </c:numRef>
          </c:val>
          <c:extLst>
            <c:ext xmlns:c16="http://schemas.microsoft.com/office/drawing/2014/chart" uri="{C3380CC4-5D6E-409C-BE32-E72D297353CC}">
              <c16:uniqueId val="{00000001-E8D8-494D-9C39-D98540C4A869}"/>
            </c:ext>
          </c:extLst>
        </c:ser>
        <c:ser>
          <c:idx val="2"/>
          <c:order val="2"/>
          <c:tx>
            <c:strRef>
              <c:f>Revenue!$B$23</c:f>
              <c:strCache>
                <c:ptCount val="1"/>
                <c:pt idx="0">
                  <c:v>Improved Customer Service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Revenue!$H$20</c:f>
              <c:strCache>
                <c:ptCount val="1"/>
                <c:pt idx="0">
                  <c:v>Benefit 
(per User)</c:v>
                </c:pt>
              </c:strCache>
            </c:strRef>
          </c:cat>
          <c:val>
            <c:numRef>
              <c:f>Revenue!$H$23</c:f>
              <c:numCache>
                <c:formatCode>_([$$]* #,##0_);_([$$]* \(#,##0\);_([$$]* "-"_);_(@_)</c:formatCode>
                <c:ptCount val="1"/>
                <c:pt idx="0">
                  <c:v>0</c:v>
                </c:pt>
              </c:numCache>
            </c:numRef>
          </c:val>
          <c:extLst>
            <c:ext xmlns:c16="http://schemas.microsoft.com/office/drawing/2014/chart" uri="{C3380CC4-5D6E-409C-BE32-E72D297353CC}">
              <c16:uniqueId val="{00000002-E8D8-494D-9C39-D98540C4A869}"/>
            </c:ext>
          </c:extLst>
        </c:ser>
        <c:ser>
          <c:idx val="3"/>
          <c:order val="3"/>
          <c:tx>
            <c:strRef>
              <c:f>Revenue!$B$24</c:f>
              <c:strCache>
                <c:ptCount val="1"/>
                <c:pt idx="0">
                  <c:v>New/Expanded Channels/Geographies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Revenue!$H$20</c:f>
              <c:strCache>
                <c:ptCount val="1"/>
                <c:pt idx="0">
                  <c:v>Benefit 
(per User)</c:v>
                </c:pt>
              </c:strCache>
            </c:strRef>
          </c:cat>
          <c:val>
            <c:numRef>
              <c:f>Revenue!$H$24</c:f>
              <c:numCache>
                <c:formatCode>_([$$]* #,##0_);_([$$]* \(#,##0\);_([$$]* "-"_);_(@_)</c:formatCode>
                <c:ptCount val="1"/>
                <c:pt idx="0">
                  <c:v>0</c:v>
                </c:pt>
              </c:numCache>
            </c:numRef>
          </c:val>
          <c:extLst>
            <c:ext xmlns:c16="http://schemas.microsoft.com/office/drawing/2014/chart" uri="{C3380CC4-5D6E-409C-BE32-E72D297353CC}">
              <c16:uniqueId val="{00000003-E8D8-494D-9C39-D98540C4A869}"/>
            </c:ext>
          </c:extLst>
        </c:ser>
        <c:ser>
          <c:idx val="4"/>
          <c:order val="4"/>
          <c:tx>
            <c:strRef>
              <c:f>Revenue!$B$25</c:f>
              <c:strCache>
                <c:ptCount val="1"/>
                <c:pt idx="0">
                  <c:v>New/Enhanced Products/Services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Revenue!$H$20</c:f>
              <c:strCache>
                <c:ptCount val="1"/>
                <c:pt idx="0">
                  <c:v>Benefit 
(per User)</c:v>
                </c:pt>
              </c:strCache>
            </c:strRef>
          </c:cat>
          <c:val>
            <c:numRef>
              <c:f>Revenue!$H$25</c:f>
              <c:numCache>
                <c:formatCode>_([$$]* #,##0_);_([$$]* \(#,##0\);_([$$]* "-"_);_(@_)</c:formatCode>
                <c:ptCount val="1"/>
                <c:pt idx="0">
                  <c:v>0</c:v>
                </c:pt>
              </c:numCache>
            </c:numRef>
          </c:val>
          <c:extLst>
            <c:ext xmlns:c16="http://schemas.microsoft.com/office/drawing/2014/chart" uri="{C3380CC4-5D6E-409C-BE32-E72D297353CC}">
              <c16:uniqueId val="{00000004-E8D8-494D-9C39-D98540C4A869}"/>
            </c:ext>
          </c:extLst>
        </c:ser>
        <c:ser>
          <c:idx val="5"/>
          <c:order val="5"/>
          <c:tx>
            <c:strRef>
              <c:f>Revenue!$B$26</c:f>
              <c:strCache>
                <c:ptCount val="1"/>
                <c:pt idx="0">
                  <c:v>Improved Product Availability (fill rate, up-time)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Revenue!$H$20</c:f>
              <c:strCache>
                <c:ptCount val="1"/>
                <c:pt idx="0">
                  <c:v>Benefit 
(per User)</c:v>
                </c:pt>
              </c:strCache>
            </c:strRef>
          </c:cat>
          <c:val>
            <c:numRef>
              <c:f>Revenue!$H$26</c:f>
              <c:numCache>
                <c:formatCode>_([$$]* #,##0_);_([$$]* \(#,##0\);_([$$]* "-"_);_(@_)</c:formatCode>
                <c:ptCount val="1"/>
                <c:pt idx="0">
                  <c:v>27.641377545136631</c:v>
                </c:pt>
              </c:numCache>
            </c:numRef>
          </c:val>
          <c:extLst>
            <c:ext xmlns:c16="http://schemas.microsoft.com/office/drawing/2014/chart" uri="{C3380CC4-5D6E-409C-BE32-E72D297353CC}">
              <c16:uniqueId val="{00000005-E8D8-494D-9C39-D98540C4A869}"/>
            </c:ext>
          </c:extLst>
        </c:ser>
        <c:ser>
          <c:idx val="6"/>
          <c:order val="6"/>
          <c:tx>
            <c:strRef>
              <c:f>Revenue!$B$27</c:f>
              <c:strCache>
                <c:ptCount val="1"/>
                <c:pt idx="0">
                  <c:v>Other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Revenue!$H$20</c:f>
              <c:strCache>
                <c:ptCount val="1"/>
                <c:pt idx="0">
                  <c:v>Benefit 
(per User)</c:v>
                </c:pt>
              </c:strCache>
            </c:strRef>
          </c:cat>
          <c:val>
            <c:numRef>
              <c:f>Revenue!$H$27</c:f>
              <c:numCache>
                <c:formatCode>_([$$]* #,##0_);_([$$]* \(#,##0\);_([$$]* "-"_);_(@_)</c:formatCode>
                <c:ptCount val="1"/>
                <c:pt idx="0">
                  <c:v>0</c:v>
                </c:pt>
              </c:numCache>
            </c:numRef>
          </c:val>
          <c:extLst>
            <c:ext xmlns:c16="http://schemas.microsoft.com/office/drawing/2014/chart" uri="{C3380CC4-5D6E-409C-BE32-E72D297353CC}">
              <c16:uniqueId val="{00000006-E8D8-494D-9C39-D98540C4A869}"/>
            </c:ext>
          </c:extLst>
        </c:ser>
        <c:dLbls>
          <c:showLegendKey val="0"/>
          <c:showVal val="1"/>
          <c:showCatName val="0"/>
          <c:showSerName val="0"/>
          <c:showPercent val="0"/>
          <c:showBubbleSize val="0"/>
        </c:dLbls>
        <c:gapWidth val="150"/>
        <c:overlap val="100"/>
        <c:axId val="159408512"/>
        <c:axId val="159410048"/>
      </c:barChart>
      <c:catAx>
        <c:axId val="159408512"/>
        <c:scaling>
          <c:orientation val="minMax"/>
        </c:scaling>
        <c:delete val="0"/>
        <c:axPos val="b"/>
        <c:numFmt formatCode="General" sourceLinked="0"/>
        <c:majorTickMark val="out"/>
        <c:minorTickMark val="none"/>
        <c:tickLblPos val="nextTo"/>
        <c:txPr>
          <a:bodyPr rot="0" vert="horz"/>
          <a:lstStyle/>
          <a:p>
            <a:pPr>
              <a:defRPr/>
            </a:pPr>
            <a:endParaRPr lang="en-US"/>
          </a:p>
        </c:txPr>
        <c:crossAx val="159410048"/>
        <c:crosses val="autoZero"/>
        <c:auto val="1"/>
        <c:lblAlgn val="ctr"/>
        <c:lblOffset val="100"/>
        <c:tickLblSkip val="1"/>
        <c:tickMarkSkip val="1"/>
        <c:noMultiLvlLbl val="1"/>
      </c:catAx>
      <c:valAx>
        <c:axId val="159410048"/>
        <c:scaling>
          <c:orientation val="minMax"/>
        </c:scaling>
        <c:delete val="0"/>
        <c:axPos val="l"/>
        <c:majorGridlines/>
        <c:title>
          <c:tx>
            <c:rich>
              <a:bodyPr/>
              <a:lstStyle/>
              <a:p>
                <a:pPr>
                  <a:defRPr/>
                </a:pPr>
                <a:r>
                  <a:rPr lang="en-US"/>
                  <a:t>Annual Benefit per PC</a:t>
                </a:r>
              </a:p>
            </c:rich>
          </c:tx>
          <c:layout>
            <c:manualLayout>
              <c:xMode val="edge"/>
              <c:yMode val="edge"/>
              <c:x val="2.0676336510568164E-2"/>
              <c:y val="0.27236868670769004"/>
            </c:manualLayout>
          </c:layout>
          <c:overlay val="0"/>
        </c:title>
        <c:numFmt formatCode="_([$$]* #,##0_);_([$$]* \(#,##0\);_([$$]* &quot;-&quot;_);_(@_)" sourceLinked="1"/>
        <c:majorTickMark val="out"/>
        <c:minorTickMark val="none"/>
        <c:tickLblPos val="nextTo"/>
        <c:txPr>
          <a:bodyPr rot="0" vert="horz"/>
          <a:lstStyle/>
          <a:p>
            <a:pPr>
              <a:defRPr/>
            </a:pPr>
            <a:endParaRPr lang="en-US"/>
          </a:p>
        </c:txPr>
        <c:crossAx val="159408512"/>
        <c:crossesAt val="1"/>
        <c:crossBetween val="between"/>
      </c:valAx>
    </c:plotArea>
    <c:legend>
      <c:legendPos val="t"/>
      <c:layout>
        <c:manualLayout>
          <c:xMode val="edge"/>
          <c:yMode val="edge"/>
          <c:x val="0.52339765705387975"/>
          <c:y val="0.16774650132296337"/>
          <c:w val="0.43449710295647032"/>
          <c:h val="0.80454624990058066"/>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999" l="0.70000000000000062" r="0.70000000000000062" t="0.75000000000000999" header="0.30000000000000032" footer="0.30000000000000032"/>
    <c:pageSetup paperSize="0" orientation="landscape" horizontalDpi="0" verticalDpi="0" copies="0"/>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hart>
    <c:title>
      <c:tx>
        <c:rich>
          <a:bodyPr/>
          <a:lstStyle/>
          <a:p>
            <a:pPr>
              <a:defRPr/>
            </a:pPr>
            <a:r>
              <a:rPr lang="en-US"/>
              <a:t>KPI Performance Comparison</a:t>
            </a:r>
          </a:p>
        </c:rich>
      </c:tx>
      <c:overlay val="0"/>
    </c:title>
    <c:autoTitleDeleted val="0"/>
    <c:plotArea>
      <c:layout>
        <c:manualLayout>
          <c:layoutTarget val="inner"/>
          <c:xMode val="edge"/>
          <c:yMode val="edge"/>
          <c:x val="0.18760882162456963"/>
          <c:y val="0.16847871493540784"/>
          <c:w val="0.75746512205454863"/>
          <c:h val="0.62206521482112065"/>
        </c:manualLayout>
      </c:layout>
      <c:barChart>
        <c:barDir val="col"/>
        <c:grouping val="clustered"/>
        <c:varyColors val="0"/>
        <c:ser>
          <c:idx val="0"/>
          <c:order val="0"/>
          <c:tx>
            <c:strRef>
              <c:f>ROI!$E$381</c:f>
              <c:strCache>
                <c:ptCount val="1"/>
                <c:pt idx="0">
                  <c:v>As-Is</c:v>
                </c:pt>
              </c:strCache>
            </c:strRef>
          </c:tx>
          <c:invertIfNegative val="0"/>
          <c:dLbls>
            <c:spPr>
              <a:noFill/>
              <a:ln>
                <a:noFill/>
              </a:ln>
              <a:effectLst/>
            </c:spPr>
            <c:txPr>
              <a:bodyPr/>
              <a:lstStyle/>
              <a:p>
                <a:pPr>
                  <a:defRPr sz="8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ROI!$D$382:$D$385</c:f>
              <c:strCache>
                <c:ptCount val="4"/>
                <c:pt idx="0">
                  <c:v>Sales/Marketing Performance</c:v>
                </c:pt>
                <c:pt idx="1">
                  <c:v>Business Management Effectiveness</c:v>
                </c:pt>
                <c:pt idx="2">
                  <c:v>Supply/Operations Performance</c:v>
                </c:pt>
                <c:pt idx="3">
                  <c:v>Technology Effectiveness</c:v>
                </c:pt>
              </c:strCache>
            </c:strRef>
          </c:cat>
          <c:val>
            <c:numRef>
              <c:f>ROI!$E$382:$E$385</c:f>
              <c:numCache>
                <c:formatCode>0.0%</c:formatCode>
                <c:ptCount val="4"/>
                <c:pt idx="0">
                  <c:v>0.3</c:v>
                </c:pt>
                <c:pt idx="1">
                  <c:v>0.3</c:v>
                </c:pt>
                <c:pt idx="2">
                  <c:v>0.3</c:v>
                </c:pt>
                <c:pt idx="3">
                  <c:v>0.3</c:v>
                </c:pt>
              </c:numCache>
            </c:numRef>
          </c:val>
          <c:extLst>
            <c:ext xmlns:c16="http://schemas.microsoft.com/office/drawing/2014/chart" uri="{C3380CC4-5D6E-409C-BE32-E72D297353CC}">
              <c16:uniqueId val="{00000000-68D1-4315-8652-DE1128056349}"/>
            </c:ext>
          </c:extLst>
        </c:ser>
        <c:ser>
          <c:idx val="1"/>
          <c:order val="1"/>
          <c:tx>
            <c:strRef>
              <c:f>ROI!$F$381</c:f>
              <c:strCache>
                <c:ptCount val="1"/>
                <c:pt idx="0">
                  <c:v>To-Be</c:v>
                </c:pt>
              </c:strCache>
            </c:strRef>
          </c:tx>
          <c:invertIfNegative val="0"/>
          <c:dLbls>
            <c:spPr>
              <a:noFill/>
              <a:ln>
                <a:noFill/>
              </a:ln>
              <a:effectLst/>
            </c:spPr>
            <c:txPr>
              <a:bodyPr/>
              <a:lstStyle/>
              <a:p>
                <a:pPr>
                  <a:defRPr sz="8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ROI!$D$382:$D$385</c:f>
              <c:strCache>
                <c:ptCount val="4"/>
                <c:pt idx="0">
                  <c:v>Sales/Marketing Performance</c:v>
                </c:pt>
                <c:pt idx="1">
                  <c:v>Business Management Effectiveness</c:v>
                </c:pt>
                <c:pt idx="2">
                  <c:v>Supply/Operations Performance</c:v>
                </c:pt>
                <c:pt idx="3">
                  <c:v>Technology Effectiveness</c:v>
                </c:pt>
              </c:strCache>
            </c:strRef>
          </c:cat>
          <c:val>
            <c:numRef>
              <c:f>ROI!$F$382:$F$385</c:f>
              <c:numCache>
                <c:formatCode>0.0%</c:formatCode>
                <c:ptCount val="4"/>
                <c:pt idx="0">
                  <c:v>0.3</c:v>
                </c:pt>
                <c:pt idx="1">
                  <c:v>0.3</c:v>
                </c:pt>
                <c:pt idx="2">
                  <c:v>0.3</c:v>
                </c:pt>
                <c:pt idx="3">
                  <c:v>0.36149999999999999</c:v>
                </c:pt>
              </c:numCache>
            </c:numRef>
          </c:val>
          <c:extLst>
            <c:ext xmlns:c16="http://schemas.microsoft.com/office/drawing/2014/chart" uri="{C3380CC4-5D6E-409C-BE32-E72D297353CC}">
              <c16:uniqueId val="{00000001-68D1-4315-8652-DE1128056349}"/>
            </c:ext>
          </c:extLst>
        </c:ser>
        <c:dLbls>
          <c:showLegendKey val="0"/>
          <c:showVal val="1"/>
          <c:showCatName val="0"/>
          <c:showSerName val="0"/>
          <c:showPercent val="0"/>
          <c:showBubbleSize val="0"/>
        </c:dLbls>
        <c:gapWidth val="150"/>
        <c:axId val="159465856"/>
        <c:axId val="159467392"/>
      </c:barChart>
      <c:catAx>
        <c:axId val="159465856"/>
        <c:scaling>
          <c:orientation val="minMax"/>
        </c:scaling>
        <c:delete val="0"/>
        <c:axPos val="b"/>
        <c:numFmt formatCode="General" sourceLinked="0"/>
        <c:majorTickMark val="none"/>
        <c:minorTickMark val="none"/>
        <c:tickLblPos val="nextTo"/>
        <c:txPr>
          <a:bodyPr rot="0"/>
          <a:lstStyle/>
          <a:p>
            <a:pPr>
              <a:defRPr/>
            </a:pPr>
            <a:endParaRPr lang="en-US"/>
          </a:p>
        </c:txPr>
        <c:crossAx val="159467392"/>
        <c:crosses val="autoZero"/>
        <c:auto val="1"/>
        <c:lblAlgn val="ctr"/>
        <c:lblOffset val="100"/>
        <c:noMultiLvlLbl val="0"/>
      </c:catAx>
      <c:valAx>
        <c:axId val="159467392"/>
        <c:scaling>
          <c:orientation val="minMax"/>
          <c:max val="1"/>
          <c:min val="0"/>
        </c:scaling>
        <c:delete val="0"/>
        <c:axPos val="l"/>
        <c:majorGridlines/>
        <c:title>
          <c:tx>
            <c:rich>
              <a:bodyPr rot="-5400000" vert="horz"/>
              <a:lstStyle/>
              <a:p>
                <a:pPr>
                  <a:defRPr/>
                </a:pPr>
                <a:r>
                  <a:rPr lang="en-US"/>
                  <a:t>Performance Percentile</a:t>
                </a:r>
              </a:p>
            </c:rich>
          </c:tx>
          <c:overlay val="0"/>
        </c:title>
        <c:numFmt formatCode="0%" sourceLinked="0"/>
        <c:majorTickMark val="none"/>
        <c:minorTickMark val="none"/>
        <c:tickLblPos val="nextTo"/>
        <c:crossAx val="159465856"/>
        <c:crosses val="autoZero"/>
        <c:crossBetween val="between"/>
      </c:valAx>
    </c:plotArea>
    <c:legend>
      <c:legendPos val="r"/>
      <c:layout>
        <c:manualLayout>
          <c:xMode val="edge"/>
          <c:yMode val="edge"/>
          <c:x val="0.88222751376857433"/>
          <c:y val="1.3131556753603987E-2"/>
          <c:w val="0.10903403308352747"/>
          <c:h val="0.15451987420491359"/>
        </c:manualLayout>
      </c:layout>
      <c:overlay val="0"/>
      <c:txPr>
        <a:bodyPr/>
        <a:lstStyle/>
        <a:p>
          <a:pPr>
            <a:defRPr sz="1100"/>
          </a:pPr>
          <a:endParaRPr lang="en-US"/>
        </a:p>
      </c:txPr>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322" l="0.70000000000000062" r="0.70000000000000062" t="0.75000000000000322" header="0.30000000000000032" footer="0.30000000000000032"/>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TCO!$O$30</c:f>
          <c:strCache>
            <c:ptCount val="1"/>
            <c:pt idx="0">
              <c:v>IT Spending (TCO) Summary</c:v>
            </c:pt>
          </c:strCache>
        </c:strRef>
      </c:tx>
      <c:overlay val="0"/>
      <c:txPr>
        <a:bodyPr/>
        <a:lstStyle/>
        <a:p>
          <a:pPr>
            <a:defRPr/>
          </a:pPr>
          <a:endParaRPr lang="en-US"/>
        </a:p>
      </c:txPr>
    </c:title>
    <c:autoTitleDeleted val="0"/>
    <c:plotArea>
      <c:layout>
        <c:manualLayout>
          <c:layoutTarget val="inner"/>
          <c:xMode val="edge"/>
          <c:yMode val="edge"/>
          <c:x val="0.26177648846525758"/>
          <c:y val="0.17745224445131713"/>
          <c:w val="0.40179119531455942"/>
          <c:h val="0.69323246980834219"/>
        </c:manualLayout>
      </c:layout>
      <c:barChart>
        <c:barDir val="col"/>
        <c:grouping val="stacked"/>
        <c:varyColors val="0"/>
        <c:ser>
          <c:idx val="0"/>
          <c:order val="0"/>
          <c:tx>
            <c:strRef>
              <c:f>TCO!$C$22</c:f>
              <c:strCache>
                <c:ptCount val="1"/>
                <c:pt idx="0">
                  <c:v>Hardware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(TCO!$G$21,TCO!$I$21)</c:f>
              <c:strCache>
                <c:ptCount val="2"/>
                <c:pt idx="0">
                  <c:v>As-Is</c:v>
                </c:pt>
                <c:pt idx="1">
                  <c:v>To-Be</c:v>
                </c:pt>
              </c:strCache>
            </c:strRef>
          </c:cat>
          <c:val>
            <c:numRef>
              <c:f>(TCO!$G$22,TCO!$I$22)</c:f>
              <c:numCache>
                <c:formatCode>_([$$]* #,##0_);_([$$]* \(#,##0\);_([$$]* "-"_);_(@_)</c:formatCode>
                <c:ptCount val="2"/>
                <c:pt idx="0" formatCode="_([$$]* #,##0_);_([$$]* \(#,##0\);_([$$]* &quot;-&quot;??_);_(@_)">
                  <c:v>2102.5996411504093</c:v>
                </c:pt>
                <c:pt idx="1">
                  <c:v>2084.7275442006307</c:v>
                </c:pt>
              </c:numCache>
            </c:numRef>
          </c:val>
          <c:extLst>
            <c:ext xmlns:c16="http://schemas.microsoft.com/office/drawing/2014/chart" uri="{C3380CC4-5D6E-409C-BE32-E72D297353CC}">
              <c16:uniqueId val="{00000000-0BC2-4135-AD9D-C2D0D860FB7E}"/>
            </c:ext>
          </c:extLst>
        </c:ser>
        <c:ser>
          <c:idx val="1"/>
          <c:order val="1"/>
          <c:tx>
            <c:strRef>
              <c:f>TCO!$C$23</c:f>
              <c:strCache>
                <c:ptCount val="1"/>
                <c:pt idx="0">
                  <c:v>Software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(TCO!$G$21,TCO!$I$21)</c:f>
              <c:strCache>
                <c:ptCount val="2"/>
                <c:pt idx="0">
                  <c:v>As-Is</c:v>
                </c:pt>
                <c:pt idx="1">
                  <c:v>To-Be</c:v>
                </c:pt>
              </c:strCache>
            </c:strRef>
          </c:cat>
          <c:val>
            <c:numRef>
              <c:f>(TCO!$G$23,TCO!$I$23)</c:f>
              <c:numCache>
                <c:formatCode>_([$$]* #,##0_);_([$$]* \(#,##0\);_([$$]* "-"_);_(@_)</c:formatCode>
                <c:ptCount val="2"/>
                <c:pt idx="0" formatCode="_([$$]* #,##0_);_([$$]* \(#,##0\);_([$$]* &quot;-&quot;??_);_(@_)">
                  <c:v>2587.8149429543496</c:v>
                </c:pt>
                <c:pt idx="1">
                  <c:v>2570.7224252561359</c:v>
                </c:pt>
              </c:numCache>
            </c:numRef>
          </c:val>
          <c:extLst>
            <c:ext xmlns:c16="http://schemas.microsoft.com/office/drawing/2014/chart" uri="{C3380CC4-5D6E-409C-BE32-E72D297353CC}">
              <c16:uniqueId val="{00000001-0BC2-4135-AD9D-C2D0D860FB7E}"/>
            </c:ext>
          </c:extLst>
        </c:ser>
        <c:ser>
          <c:idx val="2"/>
          <c:order val="2"/>
          <c:tx>
            <c:strRef>
              <c:f>TCO!$C$25</c:f>
              <c:strCache>
                <c:ptCount val="1"/>
                <c:pt idx="0">
                  <c:v>External IT Services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(TCO!$G$21,TCO!$I$21)</c:f>
              <c:strCache>
                <c:ptCount val="2"/>
                <c:pt idx="0">
                  <c:v>As-Is</c:v>
                </c:pt>
                <c:pt idx="1">
                  <c:v>To-Be</c:v>
                </c:pt>
              </c:strCache>
            </c:strRef>
          </c:cat>
          <c:val>
            <c:numRef>
              <c:f>(TCO!$G$25,TCO!$I$25)</c:f>
              <c:numCache>
                <c:formatCode>_([$$]* #,##0_);_([$$]* \(#,##0\);_([$$]* "-"_);_(@_)</c:formatCode>
                <c:ptCount val="2"/>
                <c:pt idx="0" formatCode="_([$$]* #,##0_);_([$$]* \(#,##0\);_([$$]* &quot;-&quot;??_);_(@_)">
                  <c:v>3396.5071126275843</c:v>
                </c:pt>
                <c:pt idx="1">
                  <c:v>3369.386003333253</c:v>
                </c:pt>
              </c:numCache>
            </c:numRef>
          </c:val>
          <c:extLst>
            <c:ext xmlns:c16="http://schemas.microsoft.com/office/drawing/2014/chart" uri="{C3380CC4-5D6E-409C-BE32-E72D297353CC}">
              <c16:uniqueId val="{00000002-0BC2-4135-AD9D-C2D0D860FB7E}"/>
            </c:ext>
          </c:extLst>
        </c:ser>
        <c:ser>
          <c:idx val="3"/>
          <c:order val="3"/>
          <c:tx>
            <c:strRef>
              <c:f>TCO!$C$24</c:f>
              <c:strCache>
                <c:ptCount val="1"/>
                <c:pt idx="0">
                  <c:v>Internal IT Staff</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(TCO!$G$21,TCO!$I$21)</c:f>
              <c:strCache>
                <c:ptCount val="2"/>
                <c:pt idx="0">
                  <c:v>As-Is</c:v>
                </c:pt>
                <c:pt idx="1">
                  <c:v>To-Be</c:v>
                </c:pt>
              </c:strCache>
            </c:strRef>
          </c:cat>
          <c:val>
            <c:numRef>
              <c:f>(TCO!$G$24,TCO!$I$24)</c:f>
              <c:numCache>
                <c:formatCode>_([$$]* #,##0_);_([$$]* \(#,##0\);_([$$]* "-"_);_(@_)</c:formatCode>
                <c:ptCount val="2"/>
                <c:pt idx="0" formatCode="_([$$]* #,##0_);_([$$]* \(#,##0\);_([$$]* &quot;-&quot;??_);_(@_)">
                  <c:v>3930.1969500813302</c:v>
                </c:pt>
                <c:pt idx="1">
                  <c:v>3903.1452788004285</c:v>
                </c:pt>
              </c:numCache>
            </c:numRef>
          </c:val>
          <c:extLst>
            <c:ext xmlns:c16="http://schemas.microsoft.com/office/drawing/2014/chart" uri="{C3380CC4-5D6E-409C-BE32-E72D297353CC}">
              <c16:uniqueId val="{00000003-0BC2-4135-AD9D-C2D0D860FB7E}"/>
            </c:ext>
          </c:extLst>
        </c:ser>
        <c:ser>
          <c:idx val="4"/>
          <c:order val="4"/>
          <c:tx>
            <c:strRef>
              <c:f>TCO!$C$26</c:f>
              <c:strCache>
                <c:ptCount val="1"/>
                <c:pt idx="0">
                  <c:v>Telecom / Networking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(TCO!$G$21,TCO!$I$21)</c:f>
              <c:strCache>
                <c:ptCount val="2"/>
                <c:pt idx="0">
                  <c:v>As-Is</c:v>
                </c:pt>
                <c:pt idx="1">
                  <c:v>To-Be</c:v>
                </c:pt>
              </c:strCache>
            </c:strRef>
          </c:cat>
          <c:val>
            <c:numRef>
              <c:f>(TCO!$G$26,TCO!$I$26)</c:f>
              <c:numCache>
                <c:formatCode>_([$$]* #,##0_);_([$$]* \(#,##0\);_([$$]* "-"_);_(@_)</c:formatCode>
                <c:ptCount val="2"/>
                <c:pt idx="0" formatCode="_([$$]* #,##0_);_([$$]* \(#,##0\);_([$$]* &quot;-&quot;??_);_(@_)">
                  <c:v>3073.0302447582912</c:v>
                </c:pt>
                <c:pt idx="1">
                  <c:v>3065.4705903561858</c:v>
                </c:pt>
              </c:numCache>
            </c:numRef>
          </c:val>
          <c:extLst>
            <c:ext xmlns:c16="http://schemas.microsoft.com/office/drawing/2014/chart" uri="{C3380CC4-5D6E-409C-BE32-E72D297353CC}">
              <c16:uniqueId val="{00000004-0BC2-4135-AD9D-C2D0D860FB7E}"/>
            </c:ext>
          </c:extLst>
        </c:ser>
        <c:dLbls>
          <c:showLegendKey val="0"/>
          <c:showVal val="1"/>
          <c:showCatName val="0"/>
          <c:showSerName val="0"/>
          <c:showPercent val="0"/>
          <c:showBubbleSize val="0"/>
        </c:dLbls>
        <c:gapWidth val="22"/>
        <c:overlap val="100"/>
        <c:axId val="159539584"/>
        <c:axId val="159541120"/>
      </c:barChart>
      <c:catAx>
        <c:axId val="159539584"/>
        <c:scaling>
          <c:orientation val="minMax"/>
        </c:scaling>
        <c:delete val="0"/>
        <c:axPos val="b"/>
        <c:numFmt formatCode="General" sourceLinked="1"/>
        <c:majorTickMark val="out"/>
        <c:minorTickMark val="none"/>
        <c:tickLblPos val="nextTo"/>
        <c:crossAx val="159541120"/>
        <c:crosses val="autoZero"/>
        <c:auto val="1"/>
        <c:lblAlgn val="ctr"/>
        <c:lblOffset val="100"/>
        <c:noMultiLvlLbl val="0"/>
      </c:catAx>
      <c:valAx>
        <c:axId val="159541120"/>
        <c:scaling>
          <c:orientation val="minMax"/>
        </c:scaling>
        <c:delete val="0"/>
        <c:axPos val="l"/>
        <c:majorGridlines/>
        <c:title>
          <c:tx>
            <c:strRef>
              <c:f>TCO!$O$31</c:f>
              <c:strCache>
                <c:ptCount val="1"/>
                <c:pt idx="0">
                  <c:v>Annual IT Spending (per PC User)</c:v>
                </c:pt>
              </c:strCache>
            </c:strRef>
          </c:tx>
          <c:overlay val="0"/>
          <c:txPr>
            <a:bodyPr rot="-5400000" vert="horz"/>
            <a:lstStyle/>
            <a:p>
              <a:pPr>
                <a:defRPr/>
              </a:pPr>
              <a:endParaRPr lang="en-US"/>
            </a:p>
          </c:txPr>
        </c:title>
        <c:numFmt formatCode="_([$$]* #,##0_);_([$$]* \(#,##0\);_([$$]* &quot;-&quot;??_);_(@_)" sourceLinked="1"/>
        <c:majorTickMark val="out"/>
        <c:minorTickMark val="none"/>
        <c:tickLblPos val="nextTo"/>
        <c:crossAx val="159539584"/>
        <c:crosses val="autoZero"/>
        <c:crossBetween val="between"/>
      </c:valAx>
    </c:plotArea>
    <c:legend>
      <c:legendPos val="r"/>
      <c:layout>
        <c:manualLayout>
          <c:xMode val="edge"/>
          <c:yMode val="edge"/>
          <c:x val="0.68974404515225052"/>
          <c:y val="0.19899485373995923"/>
          <c:w val="0.28382846880982127"/>
          <c:h val="0.74252428416236449"/>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799" l="0.70000000000000062" r="0.70000000000000062" t="0.75000000000000799"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TCO!$P$30</c:f>
          <c:strCache>
            <c:ptCount val="1"/>
            <c:pt idx="0">
              <c:v>IT Spending (TCO) Summary</c:v>
            </c:pt>
          </c:strCache>
        </c:strRef>
      </c:tx>
      <c:overlay val="0"/>
      <c:txPr>
        <a:bodyPr/>
        <a:lstStyle/>
        <a:p>
          <a:pPr>
            <a:defRPr/>
          </a:pPr>
          <a:endParaRPr lang="en-US"/>
        </a:p>
      </c:txPr>
    </c:title>
    <c:autoTitleDeleted val="0"/>
    <c:plotArea>
      <c:layout>
        <c:manualLayout>
          <c:layoutTarget val="inner"/>
          <c:xMode val="edge"/>
          <c:yMode val="edge"/>
          <c:x val="0.32361448268748166"/>
          <c:y val="0.28239027523372323"/>
          <c:w val="0.59725154443030859"/>
          <c:h val="0.65697869337330073"/>
        </c:manualLayout>
      </c:layout>
      <c:barChart>
        <c:barDir val="bar"/>
        <c:grouping val="clustered"/>
        <c:varyColors val="0"/>
        <c:ser>
          <c:idx val="0"/>
          <c:order val="0"/>
          <c:tx>
            <c:strRef>
              <c:f>TCO!$G$21</c:f>
              <c:strCache>
                <c:ptCount val="1"/>
                <c:pt idx="0">
                  <c:v>As-Is</c:v>
                </c:pt>
              </c:strCache>
            </c:strRef>
          </c:tx>
          <c:spPr>
            <a:solidFill>
              <a:schemeClr val="accent1">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TCO!$C$22:$C$26</c:f>
              <c:strCache>
                <c:ptCount val="5"/>
                <c:pt idx="0">
                  <c:v>Hardware</c:v>
                </c:pt>
                <c:pt idx="1">
                  <c:v>Software</c:v>
                </c:pt>
                <c:pt idx="2">
                  <c:v>Internal IT Staff</c:v>
                </c:pt>
                <c:pt idx="3">
                  <c:v>External IT Services</c:v>
                </c:pt>
                <c:pt idx="4">
                  <c:v>Telecom / Networking</c:v>
                </c:pt>
              </c:strCache>
            </c:strRef>
          </c:cat>
          <c:val>
            <c:numRef>
              <c:f>TCO!$G$22:$G$26</c:f>
              <c:numCache>
                <c:formatCode>_([$$]* #,##0_);_([$$]* \(#,##0\);_([$$]* "-"??_);_(@_)</c:formatCode>
                <c:ptCount val="5"/>
                <c:pt idx="0">
                  <c:v>2102.5996411504093</c:v>
                </c:pt>
                <c:pt idx="1">
                  <c:v>2587.8149429543496</c:v>
                </c:pt>
                <c:pt idx="2">
                  <c:v>3930.1969500813302</c:v>
                </c:pt>
                <c:pt idx="3">
                  <c:v>3396.5071126275843</c:v>
                </c:pt>
                <c:pt idx="4">
                  <c:v>3073.0302447582912</c:v>
                </c:pt>
              </c:numCache>
            </c:numRef>
          </c:val>
          <c:extLst>
            <c:ext xmlns:c16="http://schemas.microsoft.com/office/drawing/2014/chart" uri="{C3380CC4-5D6E-409C-BE32-E72D297353CC}">
              <c16:uniqueId val="{00000000-7AE3-46AC-8CF2-33C7FBD7ABBF}"/>
            </c:ext>
          </c:extLst>
        </c:ser>
        <c:ser>
          <c:idx val="1"/>
          <c:order val="1"/>
          <c:tx>
            <c:strRef>
              <c:f>TCO!$I$21</c:f>
              <c:strCache>
                <c:ptCount val="1"/>
                <c:pt idx="0">
                  <c:v>To-Be</c:v>
                </c:pt>
              </c:strCache>
            </c:strRef>
          </c:tx>
          <c:spPr>
            <a:solidFill>
              <a:schemeClr val="accent3">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TCO!$C$22:$C$26</c:f>
              <c:strCache>
                <c:ptCount val="5"/>
                <c:pt idx="0">
                  <c:v>Hardware</c:v>
                </c:pt>
                <c:pt idx="1">
                  <c:v>Software</c:v>
                </c:pt>
                <c:pt idx="2">
                  <c:v>Internal IT Staff</c:v>
                </c:pt>
                <c:pt idx="3">
                  <c:v>External IT Services</c:v>
                </c:pt>
                <c:pt idx="4">
                  <c:v>Telecom / Networking</c:v>
                </c:pt>
              </c:strCache>
            </c:strRef>
          </c:cat>
          <c:val>
            <c:numRef>
              <c:f>TCO!$I$22:$I$26</c:f>
              <c:numCache>
                <c:formatCode>_([$$]* #,##0_);_([$$]* \(#,##0\);_([$$]* "-"_);_(@_)</c:formatCode>
                <c:ptCount val="5"/>
                <c:pt idx="0">
                  <c:v>2084.7275442006307</c:v>
                </c:pt>
                <c:pt idx="1">
                  <c:v>2570.7224252561359</c:v>
                </c:pt>
                <c:pt idx="2">
                  <c:v>3903.1452788004285</c:v>
                </c:pt>
                <c:pt idx="3">
                  <c:v>3369.386003333253</c:v>
                </c:pt>
                <c:pt idx="4">
                  <c:v>3065.4705903561858</c:v>
                </c:pt>
              </c:numCache>
            </c:numRef>
          </c:val>
          <c:extLst>
            <c:ext xmlns:c16="http://schemas.microsoft.com/office/drawing/2014/chart" uri="{C3380CC4-5D6E-409C-BE32-E72D297353CC}">
              <c16:uniqueId val="{00000001-7AE3-46AC-8CF2-33C7FBD7ABBF}"/>
            </c:ext>
          </c:extLst>
        </c:ser>
        <c:dLbls>
          <c:showLegendKey val="0"/>
          <c:showVal val="1"/>
          <c:showCatName val="0"/>
          <c:showSerName val="0"/>
          <c:showPercent val="0"/>
          <c:showBubbleSize val="0"/>
        </c:dLbls>
        <c:gapWidth val="76"/>
        <c:axId val="159567872"/>
        <c:axId val="159569408"/>
      </c:barChart>
      <c:catAx>
        <c:axId val="159567872"/>
        <c:scaling>
          <c:orientation val="maxMin"/>
        </c:scaling>
        <c:delete val="0"/>
        <c:axPos val="l"/>
        <c:numFmt formatCode="General" sourceLinked="1"/>
        <c:majorTickMark val="out"/>
        <c:minorTickMark val="none"/>
        <c:tickLblPos val="nextTo"/>
        <c:crossAx val="159569408"/>
        <c:crosses val="autoZero"/>
        <c:auto val="1"/>
        <c:lblAlgn val="ctr"/>
        <c:lblOffset val="100"/>
        <c:noMultiLvlLbl val="0"/>
      </c:catAx>
      <c:valAx>
        <c:axId val="159569408"/>
        <c:scaling>
          <c:orientation val="minMax"/>
        </c:scaling>
        <c:delete val="0"/>
        <c:axPos val="t"/>
        <c:majorGridlines/>
        <c:title>
          <c:tx>
            <c:strRef>
              <c:f>TCO!$P$33</c:f>
              <c:strCache>
                <c:ptCount val="1"/>
                <c:pt idx="0">
                  <c:v>Annual IT Spending (per PC User)</c:v>
                </c:pt>
              </c:strCache>
            </c:strRef>
          </c:tx>
          <c:overlay val="0"/>
          <c:txPr>
            <a:bodyPr rot="0" vert="horz"/>
            <a:lstStyle/>
            <a:p>
              <a:pPr>
                <a:defRPr/>
              </a:pPr>
              <a:endParaRPr lang="en-US"/>
            </a:p>
          </c:txPr>
        </c:title>
        <c:numFmt formatCode="_([$$]* #,##0_);_([$$]* \(#,##0\);_([$$]* &quot;-&quot;??_);_(@_)" sourceLinked="1"/>
        <c:majorTickMark val="out"/>
        <c:minorTickMark val="none"/>
        <c:tickLblPos val="nextTo"/>
        <c:crossAx val="159567872"/>
        <c:crosses val="autoZero"/>
        <c:crossBetween val="between"/>
      </c:valAx>
    </c:plotArea>
    <c:legend>
      <c:legendPos val="r"/>
      <c:layout>
        <c:manualLayout>
          <c:xMode val="edge"/>
          <c:yMode val="edge"/>
          <c:x val="2.8038831390617643E-2"/>
          <c:y val="3.7866958473091211E-2"/>
          <c:w val="0.14733509839654324"/>
          <c:h val="0.14971128608923936"/>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799" l="0.70000000000000062" r="0.70000000000000062" t="0.75000000000000799"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Productivity!$S$281</c:f>
          <c:strCache>
            <c:ptCount val="1"/>
            <c:pt idx="0">
              <c:v>Business Value of Productivity Benefits</c:v>
            </c:pt>
          </c:strCache>
        </c:strRef>
      </c:tx>
      <c:overlay val="0"/>
      <c:txPr>
        <a:bodyPr/>
        <a:lstStyle/>
        <a:p>
          <a:pPr>
            <a:defRPr/>
          </a:pPr>
          <a:endParaRPr lang="en-US"/>
        </a:p>
      </c:txPr>
    </c:title>
    <c:autoTitleDeleted val="0"/>
    <c:plotArea>
      <c:layout/>
      <c:barChart>
        <c:barDir val="col"/>
        <c:grouping val="stacked"/>
        <c:varyColors val="0"/>
        <c:ser>
          <c:idx val="0"/>
          <c:order val="0"/>
          <c:tx>
            <c:strRef>
              <c:f>Productivity!$D$306</c:f>
              <c:strCache>
                <c:ptCount val="1"/>
                <c:pt idx="0">
                  <c:v>Individual Computing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Productivity!$H$306</c:f>
              <c:numCache>
                <c:formatCode>_([$$]* #,##0_);_([$$]* \(#,##0\);_([$$]* "-"_);_(@_)</c:formatCode>
                <c:ptCount val="1"/>
                <c:pt idx="0">
                  <c:v>42.931924765579652</c:v>
                </c:pt>
              </c:numCache>
            </c:numRef>
          </c:val>
          <c:extLst>
            <c:ext xmlns:c16="http://schemas.microsoft.com/office/drawing/2014/chart" uri="{C3380CC4-5D6E-409C-BE32-E72D297353CC}">
              <c16:uniqueId val="{00000000-2099-4384-B9AA-66D70F837298}"/>
            </c:ext>
          </c:extLst>
        </c:ser>
        <c:ser>
          <c:idx val="1"/>
          <c:order val="1"/>
          <c:tx>
            <c:strRef>
              <c:f>Productivity!$D$307</c:f>
              <c:strCache>
                <c:ptCount val="1"/>
                <c:pt idx="0">
                  <c:v>Collaborative Computing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Productivity!$H$307</c:f>
              <c:numCache>
                <c:formatCode>_([$$]* #,##0_);_([$$]* \(#,##0\);_([$$]* "-"_);_(@_)</c:formatCode>
                <c:ptCount val="1"/>
                <c:pt idx="0">
                  <c:v>0</c:v>
                </c:pt>
              </c:numCache>
            </c:numRef>
          </c:val>
          <c:extLst>
            <c:ext xmlns:c16="http://schemas.microsoft.com/office/drawing/2014/chart" uri="{C3380CC4-5D6E-409C-BE32-E72D297353CC}">
              <c16:uniqueId val="{00000001-2099-4384-B9AA-66D70F837298}"/>
            </c:ext>
          </c:extLst>
        </c:ser>
        <c:ser>
          <c:idx val="2"/>
          <c:order val="2"/>
          <c:tx>
            <c:strRef>
              <c:f>Productivity!$D$308</c:f>
              <c:strCache>
                <c:ptCount val="1"/>
                <c:pt idx="0">
                  <c:v>PC Systems Management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Productivity!$H$308</c:f>
              <c:numCache>
                <c:formatCode>_([$$]* #,##0_);_([$$]* \(#,##0\);_([$$]* "-"_);_(@_)</c:formatCode>
                <c:ptCount val="1"/>
                <c:pt idx="0">
                  <c:v>37.411424742342561</c:v>
                </c:pt>
              </c:numCache>
            </c:numRef>
          </c:val>
          <c:extLst>
            <c:ext xmlns:c16="http://schemas.microsoft.com/office/drawing/2014/chart" uri="{C3380CC4-5D6E-409C-BE32-E72D297353CC}">
              <c16:uniqueId val="{00000002-2099-4384-B9AA-66D70F837298}"/>
            </c:ext>
          </c:extLst>
        </c:ser>
        <c:dLbls>
          <c:showLegendKey val="0"/>
          <c:showVal val="1"/>
          <c:showCatName val="0"/>
          <c:showSerName val="0"/>
          <c:showPercent val="0"/>
          <c:showBubbleSize val="0"/>
        </c:dLbls>
        <c:gapWidth val="150"/>
        <c:overlap val="100"/>
        <c:axId val="159155712"/>
        <c:axId val="159157248"/>
      </c:barChart>
      <c:catAx>
        <c:axId val="159155712"/>
        <c:scaling>
          <c:orientation val="minMax"/>
        </c:scaling>
        <c:delete val="1"/>
        <c:axPos val="b"/>
        <c:numFmt formatCode="General" sourceLinked="1"/>
        <c:majorTickMark val="out"/>
        <c:minorTickMark val="none"/>
        <c:tickLblPos val="none"/>
        <c:crossAx val="159157248"/>
        <c:crosses val="autoZero"/>
        <c:auto val="1"/>
        <c:lblAlgn val="ctr"/>
        <c:lblOffset val="100"/>
        <c:noMultiLvlLbl val="0"/>
      </c:catAx>
      <c:valAx>
        <c:axId val="159157248"/>
        <c:scaling>
          <c:orientation val="minMax"/>
        </c:scaling>
        <c:delete val="0"/>
        <c:axPos val="l"/>
        <c:majorGridlines/>
        <c:title>
          <c:tx>
            <c:strRef>
              <c:f>Productivity!$S$282</c:f>
              <c:strCache>
                <c:ptCount val="1"/>
                <c:pt idx="0">
                  <c:v>Annual Productivity Benefits (per User)</c:v>
                </c:pt>
              </c:strCache>
            </c:strRef>
          </c:tx>
          <c:overlay val="0"/>
          <c:txPr>
            <a:bodyPr rot="-5400000" vert="horz"/>
            <a:lstStyle/>
            <a:p>
              <a:pPr>
                <a:defRPr/>
              </a:pPr>
              <a:endParaRPr lang="en-US"/>
            </a:p>
          </c:txPr>
        </c:title>
        <c:numFmt formatCode="_([$$]* #,##0_);_([$$]* \(#,##0\);_([$$]* &quot;-&quot;_);_(@_)" sourceLinked="1"/>
        <c:majorTickMark val="out"/>
        <c:minorTickMark val="none"/>
        <c:tickLblPos val="nextTo"/>
        <c:crossAx val="159155712"/>
        <c:crosses val="autoZero"/>
        <c:crossBetween val="between"/>
      </c:valAx>
    </c:plotArea>
    <c:legend>
      <c:legendPos val="r"/>
      <c:layout>
        <c:manualLayout>
          <c:xMode val="edge"/>
          <c:yMode val="edge"/>
          <c:x val="0.63268291674829236"/>
          <c:y val="0.23122038155118102"/>
          <c:w val="0.3230315698046925"/>
          <c:h val="0.73435291236366063"/>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799" l="0.70000000000000062" r="0.70000000000000062" t="0.750000000000007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chart>
    <c:title>
      <c:tx>
        <c:strRef>
          <c:f>ROI!$P$26</c:f>
          <c:strCache>
            <c:ptCount val="1"/>
            <c:pt idx="0">
              <c:v>Initiative Cost Summary
  (per User)</c:v>
            </c:pt>
          </c:strCache>
        </c:strRef>
      </c:tx>
      <c:overlay val="1"/>
      <c:txPr>
        <a:bodyPr/>
        <a:lstStyle/>
        <a:p>
          <a:pPr>
            <a:defRPr sz="1400"/>
          </a:pPr>
          <a:endParaRPr lang="en-US"/>
        </a:p>
      </c:txPr>
    </c:title>
    <c:autoTitleDeleted val="0"/>
    <c:plotArea>
      <c:layout>
        <c:manualLayout>
          <c:layoutTarget val="inner"/>
          <c:xMode val="edge"/>
          <c:yMode val="edge"/>
          <c:x val="0.25538368115296745"/>
          <c:y val="0.21806722076407201"/>
          <c:w val="0.35734941872625831"/>
          <c:h val="0.70450661752387556"/>
        </c:manualLayout>
      </c:layout>
      <c:barChart>
        <c:barDir val="col"/>
        <c:grouping val="stacked"/>
        <c:varyColors val="0"/>
        <c:ser>
          <c:idx val="0"/>
          <c:order val="0"/>
          <c:tx>
            <c:strRef>
              <c:f>ROI!$D$66</c:f>
              <c:strCache>
                <c:ptCount val="1"/>
                <c:pt idx="0">
                  <c:v>Hardware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ROI!$G$65</c:f>
              <c:strCache>
                <c:ptCount val="1"/>
                <c:pt idx="0">
                  <c:v>Project Total</c:v>
                </c:pt>
              </c:strCache>
            </c:strRef>
          </c:cat>
          <c:val>
            <c:numRef>
              <c:f>ROI!$G$66</c:f>
              <c:numCache>
                <c:formatCode>_([$$]* #,##0_);_([$$]* \(#,##0\);_([$$]* "-"??_);_(@_)</c:formatCode>
                <c:ptCount val="1"/>
                <c:pt idx="0">
                  <c:v>26.249999999999996</c:v>
                </c:pt>
              </c:numCache>
            </c:numRef>
          </c:val>
          <c:extLst>
            <c:ext xmlns:c16="http://schemas.microsoft.com/office/drawing/2014/chart" uri="{C3380CC4-5D6E-409C-BE32-E72D297353CC}">
              <c16:uniqueId val="{00000000-322C-439C-B465-7C16E740F8F7}"/>
            </c:ext>
          </c:extLst>
        </c:ser>
        <c:ser>
          <c:idx val="1"/>
          <c:order val="1"/>
          <c:tx>
            <c:strRef>
              <c:f>ROI!$D$67</c:f>
              <c:strCache>
                <c:ptCount val="1"/>
                <c:pt idx="0">
                  <c:v>Software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ROI!$G$65</c:f>
              <c:strCache>
                <c:ptCount val="1"/>
                <c:pt idx="0">
                  <c:v>Project Total</c:v>
                </c:pt>
              </c:strCache>
            </c:strRef>
          </c:cat>
          <c:val>
            <c:numRef>
              <c:f>ROI!$G$67</c:f>
              <c:numCache>
                <c:formatCode>_([$$]* #,##0_);_([$$]* \(#,##0\);_([$$]* "-"??_);_(@_)</c:formatCode>
                <c:ptCount val="1"/>
                <c:pt idx="0">
                  <c:v>66.829166666666652</c:v>
                </c:pt>
              </c:numCache>
            </c:numRef>
          </c:val>
          <c:extLst>
            <c:ext xmlns:c16="http://schemas.microsoft.com/office/drawing/2014/chart" uri="{C3380CC4-5D6E-409C-BE32-E72D297353CC}">
              <c16:uniqueId val="{00000001-322C-439C-B465-7C16E740F8F7}"/>
            </c:ext>
          </c:extLst>
        </c:ser>
        <c:ser>
          <c:idx val="2"/>
          <c:order val="2"/>
          <c:tx>
            <c:strRef>
              <c:f>ROI!$D$68</c:f>
              <c:strCache>
                <c:ptCount val="1"/>
                <c:pt idx="0">
                  <c:v>IT Labor, Services, &amp; Training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ROI!$G$65</c:f>
              <c:strCache>
                <c:ptCount val="1"/>
                <c:pt idx="0">
                  <c:v>Project Total</c:v>
                </c:pt>
              </c:strCache>
            </c:strRef>
          </c:cat>
          <c:val>
            <c:numRef>
              <c:f>ROI!$G$68</c:f>
              <c:numCache>
                <c:formatCode>_([$$]* #,##0_);_([$$]* \(#,##0\);_([$$]* "-"??_);_(@_)</c:formatCode>
                <c:ptCount val="1"/>
                <c:pt idx="0">
                  <c:v>34.097282748094742</c:v>
                </c:pt>
              </c:numCache>
            </c:numRef>
          </c:val>
          <c:extLst>
            <c:ext xmlns:c16="http://schemas.microsoft.com/office/drawing/2014/chart" uri="{C3380CC4-5D6E-409C-BE32-E72D297353CC}">
              <c16:uniqueId val="{00000002-322C-439C-B465-7C16E740F8F7}"/>
            </c:ext>
          </c:extLst>
        </c:ser>
        <c:ser>
          <c:idx val="3"/>
          <c:order val="3"/>
          <c:tx>
            <c:strRef>
              <c:f>ROI!$D$69</c:f>
              <c:strCache>
                <c:ptCount val="1"/>
                <c:pt idx="0">
                  <c:v>End-User Labor &amp; Training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ROI!$G$65</c:f>
              <c:strCache>
                <c:ptCount val="1"/>
                <c:pt idx="0">
                  <c:v>Project Total</c:v>
                </c:pt>
              </c:strCache>
            </c:strRef>
          </c:cat>
          <c:val>
            <c:numRef>
              <c:f>ROI!$G$69</c:f>
              <c:numCache>
                <c:formatCode>_([$$]* #,##0_);_([$$]* \(#,##0\);_([$$]* "-"??_);_(@_)</c:formatCode>
                <c:ptCount val="1"/>
                <c:pt idx="0">
                  <c:v>22.080677594931196</c:v>
                </c:pt>
              </c:numCache>
            </c:numRef>
          </c:val>
          <c:extLst>
            <c:ext xmlns:c16="http://schemas.microsoft.com/office/drawing/2014/chart" uri="{C3380CC4-5D6E-409C-BE32-E72D297353CC}">
              <c16:uniqueId val="{00000003-322C-439C-B465-7C16E740F8F7}"/>
            </c:ext>
          </c:extLst>
        </c:ser>
        <c:dLbls>
          <c:showLegendKey val="0"/>
          <c:showVal val="1"/>
          <c:showCatName val="0"/>
          <c:showSerName val="0"/>
          <c:showPercent val="0"/>
          <c:showBubbleSize val="0"/>
        </c:dLbls>
        <c:gapWidth val="150"/>
        <c:overlap val="100"/>
        <c:axId val="138740480"/>
        <c:axId val="138742016"/>
      </c:barChart>
      <c:catAx>
        <c:axId val="138740480"/>
        <c:scaling>
          <c:orientation val="minMax"/>
        </c:scaling>
        <c:delete val="1"/>
        <c:axPos val="b"/>
        <c:numFmt formatCode="General" sourceLinked="0"/>
        <c:majorTickMark val="out"/>
        <c:minorTickMark val="none"/>
        <c:tickLblPos val="none"/>
        <c:crossAx val="138742016"/>
        <c:crosses val="autoZero"/>
        <c:auto val="1"/>
        <c:lblAlgn val="ctr"/>
        <c:lblOffset val="100"/>
        <c:noMultiLvlLbl val="0"/>
      </c:catAx>
      <c:valAx>
        <c:axId val="138742016"/>
        <c:scaling>
          <c:orientation val="minMax"/>
        </c:scaling>
        <c:delete val="0"/>
        <c:axPos val="l"/>
        <c:majorGridlines/>
        <c:title>
          <c:tx>
            <c:strRef>
              <c:f>ROI!$P$27</c:f>
              <c:strCache>
                <c:ptCount val="1"/>
                <c:pt idx="0">
                  <c:v>Costs (per User)</c:v>
                </c:pt>
              </c:strCache>
            </c:strRef>
          </c:tx>
          <c:overlay val="0"/>
          <c:txPr>
            <a:bodyPr rot="-5400000" vert="horz"/>
            <a:lstStyle/>
            <a:p>
              <a:pPr>
                <a:defRPr/>
              </a:pPr>
              <a:endParaRPr lang="en-US"/>
            </a:p>
          </c:txPr>
        </c:title>
        <c:numFmt formatCode="_([$$]* #,##0_);_([$$]* \(#,##0\);_([$$]* &quot;-&quot;??_);_(@_)" sourceLinked="1"/>
        <c:majorTickMark val="out"/>
        <c:minorTickMark val="none"/>
        <c:tickLblPos val="nextTo"/>
        <c:crossAx val="138740480"/>
        <c:crosses val="autoZero"/>
        <c:crossBetween val="between"/>
      </c:valAx>
    </c:plotArea>
    <c:legend>
      <c:legendPos val="r"/>
      <c:layout>
        <c:manualLayout>
          <c:xMode val="edge"/>
          <c:yMode val="edge"/>
          <c:x val="0.61836136806806608"/>
          <c:y val="0.19753864100320792"/>
          <c:w val="0.35916685221545336"/>
          <c:h val="0.73522183221073911"/>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3" l="0.70000000000000062" r="0.70000000000000062" t="0.750000000000003"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"Cumulative Cash Flow"</c:f>
          <c:strCache>
            <c:ptCount val="1"/>
            <c:pt idx="0">
              <c:v>Cumulative Cash Flow</c:v>
            </c:pt>
          </c:strCache>
        </c:strRef>
      </c:tx>
      <c:overlay val="0"/>
      <c:txPr>
        <a:bodyPr/>
        <a:lstStyle/>
        <a:p>
          <a:pPr>
            <a:defRPr/>
          </a:pPr>
          <a:endParaRPr lang="en-US"/>
        </a:p>
      </c:txPr>
    </c:title>
    <c:autoTitleDeleted val="0"/>
    <c:plotArea>
      <c:layout>
        <c:manualLayout>
          <c:layoutTarget val="inner"/>
          <c:xMode val="edge"/>
          <c:yMode val="edge"/>
          <c:x val="0.1901594264644775"/>
          <c:y val="0.20258409592410595"/>
          <c:w val="0.7651731810076845"/>
          <c:h val="0.62727636857252334"/>
        </c:manualLayout>
      </c:layout>
      <c:areaChart>
        <c:grouping val="standard"/>
        <c:varyColors val="0"/>
        <c:ser>
          <c:idx val="0"/>
          <c:order val="0"/>
          <c:tx>
            <c:strRef>
              <c:f>'Rpt Cntnt'!$E$55</c:f>
              <c:strCache>
                <c:ptCount val="1"/>
                <c:pt idx="0">
                  <c:v>Neg Cumulative Cash</c:v>
                </c:pt>
              </c:strCache>
            </c:strRef>
          </c:tx>
          <c:spPr>
            <a:gradFill flip="none" rotWithShape="1">
              <a:gsLst>
                <a:gs pos="0">
                  <a:srgbClr val="C00000"/>
                </a:gs>
                <a:gs pos="50000">
                  <a:srgbClr val="FF0000"/>
                </a:gs>
                <a:gs pos="100000">
                  <a:schemeClr val="accent2">
                    <a:lumMod val="20000"/>
                    <a:lumOff val="80000"/>
                  </a:schemeClr>
                </a:gs>
              </a:gsLst>
              <a:lin ang="16200000" scaled="1"/>
              <a:tileRect/>
            </a:gradFill>
            <a:scene3d>
              <a:camera prst="orthographicFront"/>
              <a:lightRig rig="threePt" dir="t"/>
            </a:scene3d>
            <a:sp3d>
              <a:bevelT w="50800"/>
            </a:sp3d>
          </c:spPr>
          <c:cat>
            <c:numRef>
              <c:f>[0]!dCFYr</c:f>
              <c:numCache>
                <c:formatCode>m/d/yyyy</c:formatCode>
                <c:ptCount val="9"/>
                <c:pt idx="0">
                  <c:v>43709</c:v>
                </c:pt>
                <c:pt idx="1">
                  <c:v>43891</c:v>
                </c:pt>
                <c:pt idx="2">
                  <c:v>44058</c:v>
                </c:pt>
                <c:pt idx="3">
                  <c:v>43466</c:v>
                </c:pt>
                <c:pt idx="4">
                  <c:v>44256</c:v>
                </c:pt>
                <c:pt idx="5">
                  <c:v>44621</c:v>
                </c:pt>
                <c:pt idx="6">
                  <c:v>44986</c:v>
                </c:pt>
                <c:pt idx="7">
                  <c:v>45352</c:v>
                </c:pt>
                <c:pt idx="8">
                  <c:v>45717</c:v>
                </c:pt>
              </c:numCache>
            </c:numRef>
          </c:cat>
          <c:val>
            <c:numRef>
              <c:f>[0]!dCFneg</c:f>
              <c:numCache>
                <c:formatCode>_([$$]* #,##0_);_([$$]* \(#,##0\);_([$$]* "-"??_);_(@_)</c:formatCode>
                <c:ptCount val="9"/>
                <c:pt idx="0">
                  <c:v>0</c:v>
                </c:pt>
                <c:pt idx="1">
                  <c:v>-94.356345249593844</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DB9-4974-85E4-CA29FEA287FE}"/>
            </c:ext>
          </c:extLst>
        </c:ser>
        <c:ser>
          <c:idx val="1"/>
          <c:order val="1"/>
          <c:tx>
            <c:strRef>
              <c:f>'Rpt Cntnt'!$F$55</c:f>
              <c:strCache>
                <c:ptCount val="1"/>
                <c:pt idx="0">
                  <c:v>Pos Cumulative Cash</c:v>
                </c:pt>
              </c:strCache>
            </c:strRef>
          </c:tx>
          <c:spPr>
            <a:gradFill>
              <a:gsLst>
                <a:gs pos="0">
                  <a:schemeClr val="accent3">
                    <a:lumMod val="20000"/>
                    <a:lumOff val="80000"/>
                  </a:schemeClr>
                </a:gs>
                <a:gs pos="100000">
                  <a:schemeClr val="accent3">
                    <a:lumMod val="75000"/>
                  </a:schemeClr>
                </a:gs>
              </a:gsLst>
              <a:lin ang="16200000" scaled="1"/>
            </a:gradFill>
            <a:scene3d>
              <a:camera prst="orthographicFront"/>
              <a:lightRig rig="threePt" dir="t"/>
            </a:scene3d>
            <a:sp3d>
              <a:bevelT w="50800"/>
            </a:sp3d>
          </c:spPr>
          <c:cat>
            <c:numRef>
              <c:f>[0]!dCFYr</c:f>
              <c:numCache>
                <c:formatCode>m/d/yyyy</c:formatCode>
                <c:ptCount val="9"/>
                <c:pt idx="0">
                  <c:v>43709</c:v>
                </c:pt>
                <c:pt idx="1">
                  <c:v>43891</c:v>
                </c:pt>
                <c:pt idx="2">
                  <c:v>44058</c:v>
                </c:pt>
                <c:pt idx="3">
                  <c:v>43466</c:v>
                </c:pt>
                <c:pt idx="4">
                  <c:v>44256</c:v>
                </c:pt>
                <c:pt idx="5">
                  <c:v>44621</c:v>
                </c:pt>
                <c:pt idx="6">
                  <c:v>44986</c:v>
                </c:pt>
                <c:pt idx="7">
                  <c:v>45352</c:v>
                </c:pt>
                <c:pt idx="8">
                  <c:v>45717</c:v>
                </c:pt>
              </c:numCache>
            </c:numRef>
          </c:cat>
          <c:val>
            <c:numRef>
              <c:f>'Rpt Cntnt'!$F$56:$F$69</c:f>
              <c:numCache>
                <c:formatCode>_([$$]* #,##0_);_([$$]* \(#,##0\);_([$$]* "-"??_);_(@_)</c:formatCode>
                <c:ptCount val="14"/>
                <c:pt idx="0">
                  <c:v>0</c:v>
                </c:pt>
                <c:pt idx="1">
                  <c:v>0</c:v>
                </c:pt>
                <c:pt idx="2">
                  <c:v>0</c:v>
                </c:pt>
                <c:pt idx="3">
                  <c:v>0</c:v>
                </c:pt>
                <c:pt idx="4">
                  <c:v>112.05123682677562</c:v>
                </c:pt>
                <c:pt idx="5">
                  <c:v>310.9888189031451</c:v>
                </c:pt>
                <c:pt idx="6">
                  <c:v>509.9264009795146</c:v>
                </c:pt>
                <c:pt idx="7">
                  <c:v>708.86398305588409</c:v>
                </c:pt>
                <c:pt idx="8">
                  <c:v>907.80156513225359</c:v>
                </c:pt>
                <c:pt idx="9">
                  <c:v>907.80156513225359</c:v>
                </c:pt>
                <c:pt idx="10">
                  <c:v>907.80156513225359</c:v>
                </c:pt>
                <c:pt idx="11">
                  <c:v>907.80156513225359</c:v>
                </c:pt>
                <c:pt idx="12">
                  <c:v>907.80156513225359</c:v>
                </c:pt>
                <c:pt idx="13">
                  <c:v>907.80156513225359</c:v>
                </c:pt>
              </c:numCache>
            </c:numRef>
          </c:val>
          <c:extLst>
            <c:ext xmlns:c16="http://schemas.microsoft.com/office/drawing/2014/chart" uri="{C3380CC4-5D6E-409C-BE32-E72D297353CC}">
              <c16:uniqueId val="{00000001-3DB9-4974-85E4-CA29FEA287FE}"/>
            </c:ext>
          </c:extLst>
        </c:ser>
        <c:dLbls>
          <c:showLegendKey val="0"/>
          <c:showVal val="0"/>
          <c:showCatName val="0"/>
          <c:showSerName val="0"/>
          <c:showPercent val="0"/>
          <c:showBubbleSize val="0"/>
        </c:dLbls>
        <c:axId val="159303168"/>
        <c:axId val="159305088"/>
      </c:areaChart>
      <c:lineChart>
        <c:grouping val="standard"/>
        <c:varyColors val="0"/>
        <c:ser>
          <c:idx val="2"/>
          <c:order val="2"/>
          <c:tx>
            <c:strRef>
              <c:f>'Rpt Cntnt'!$G$55</c:f>
              <c:strCache>
                <c:ptCount val="1"/>
                <c:pt idx="0">
                  <c:v>Deploy Start</c:v>
                </c:pt>
              </c:strCache>
            </c:strRef>
          </c:tx>
          <c:spPr>
            <a:ln>
              <a:noFill/>
            </a:ln>
          </c:spPr>
          <c:marker>
            <c:symbol val="triangle"/>
            <c:size val="10"/>
            <c:spPr>
              <a:solidFill>
                <a:schemeClr val="tx1"/>
              </a:solidFill>
              <a:ln>
                <a:noFill/>
              </a:ln>
              <a:scene3d>
                <a:camera prst="orthographicFront"/>
                <a:lightRig rig="threePt" dir="t"/>
              </a:scene3d>
              <a:sp3d/>
            </c:spPr>
          </c:marker>
          <c:dLbls>
            <c:dLbl>
              <c:idx val="1"/>
              <c:tx>
                <c:rich>
                  <a:bodyPr/>
                  <a:lstStyle/>
                  <a:p>
                    <a:r>
                      <a:rPr lang="en-US"/>
                      <a:t>Deploy Start</a:t>
                    </a:r>
                  </a:p>
                </c:rich>
              </c:tx>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DB9-4974-85E4-CA29FEA287FE}"/>
                </c:ext>
              </c:extLst>
            </c:dLbl>
            <c:spPr>
              <a:noFill/>
              <a:ln>
                <a:noFill/>
              </a:ln>
              <a:effectLst/>
            </c:spPr>
            <c:txPr>
              <a:bodyPr rot="-5400000" vert="horz"/>
              <a:lstStyle/>
              <a:p>
                <a:pPr>
                  <a:defRPr/>
                </a:pPr>
                <a:endParaRPr lang="en-US"/>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'Rpt Cntnt'!$D$56:$D$69</c:f>
              <c:numCache>
                <c:formatCode>m/d/yyyy</c:formatCode>
                <c:ptCount val="14"/>
                <c:pt idx="0">
                  <c:v>43709</c:v>
                </c:pt>
                <c:pt idx="1">
                  <c:v>43891</c:v>
                </c:pt>
                <c:pt idx="2">
                  <c:v>44058</c:v>
                </c:pt>
                <c:pt idx="3">
                  <c:v>43466</c:v>
                </c:pt>
                <c:pt idx="4">
                  <c:v>44256</c:v>
                </c:pt>
                <c:pt idx="5">
                  <c:v>44621</c:v>
                </c:pt>
                <c:pt idx="6">
                  <c:v>44986</c:v>
                </c:pt>
                <c:pt idx="7">
                  <c:v>45352</c:v>
                </c:pt>
                <c:pt idx="8">
                  <c:v>45717</c:v>
                </c:pt>
                <c:pt idx="9">
                  <c:v>46082</c:v>
                </c:pt>
                <c:pt idx="10">
                  <c:v>46447</c:v>
                </c:pt>
                <c:pt idx="11">
                  <c:v>46813</c:v>
                </c:pt>
                <c:pt idx="12">
                  <c:v>47178</c:v>
                </c:pt>
                <c:pt idx="13">
                  <c:v>47543</c:v>
                </c:pt>
              </c:numCache>
            </c:numRef>
          </c:cat>
          <c:val>
            <c:numRef>
              <c:f>'Rpt Cntnt'!$G$56:$G$69</c:f>
              <c:numCache>
                <c:formatCode>General</c:formatCode>
                <c:ptCount val="14"/>
                <c:pt idx="0">
                  <c:v>1E-3</c:v>
                </c:pt>
              </c:numCache>
            </c:numRef>
          </c:val>
          <c:smooth val="0"/>
          <c:extLst>
            <c:ext xmlns:c16="http://schemas.microsoft.com/office/drawing/2014/chart" uri="{C3380CC4-5D6E-409C-BE32-E72D297353CC}">
              <c16:uniqueId val="{00000003-3DB9-4974-85E4-CA29FEA287FE}"/>
            </c:ext>
          </c:extLst>
        </c:ser>
        <c:dLbls>
          <c:showLegendKey val="0"/>
          <c:showVal val="0"/>
          <c:showCatName val="0"/>
          <c:showSerName val="0"/>
          <c:showPercent val="0"/>
          <c:showBubbleSize val="0"/>
        </c:dLbls>
        <c:marker val="1"/>
        <c:smooth val="0"/>
        <c:axId val="159303168"/>
        <c:axId val="159305088"/>
      </c:lineChart>
      <c:scatterChart>
        <c:scatterStyle val="lineMarker"/>
        <c:varyColors val="0"/>
        <c:ser>
          <c:idx val="5"/>
          <c:order val="3"/>
          <c:tx>
            <c:strRef>
              <c:f>'Rpt Cntnt'!$H$55</c:f>
              <c:strCache>
                <c:ptCount val="1"/>
                <c:pt idx="0">
                  <c:v>Deployment</c:v>
                </c:pt>
              </c:strCache>
            </c:strRef>
          </c:tx>
          <c:spPr>
            <a:ln w="28575">
              <a:solidFill>
                <a:srgbClr val="FF0000"/>
              </a:solidFill>
            </a:ln>
          </c:spPr>
          <c:marker>
            <c:symbol val="none"/>
          </c:marker>
          <c:xVal>
            <c:numRef>
              <c:f>'Rpt Cntnt'!$D$56:$D$59</c:f>
              <c:numCache>
                <c:formatCode>m/d/yyyy</c:formatCode>
                <c:ptCount val="4"/>
                <c:pt idx="0">
                  <c:v>43709</c:v>
                </c:pt>
                <c:pt idx="1">
                  <c:v>43891</c:v>
                </c:pt>
                <c:pt idx="2">
                  <c:v>44058</c:v>
                </c:pt>
                <c:pt idx="3">
                  <c:v>43466</c:v>
                </c:pt>
              </c:numCache>
            </c:numRef>
          </c:xVal>
          <c:yVal>
            <c:numRef>
              <c:f>'Rpt Cntnt'!$H$56:$H$59</c:f>
              <c:numCache>
                <c:formatCode>General</c:formatCode>
                <c:ptCount val="4"/>
                <c:pt idx="0">
                  <c:v>1E-3</c:v>
                </c:pt>
                <c:pt idx="1">
                  <c:v>1E-3</c:v>
                </c:pt>
              </c:numCache>
            </c:numRef>
          </c:yVal>
          <c:smooth val="0"/>
          <c:extLst>
            <c:ext xmlns:c16="http://schemas.microsoft.com/office/drawing/2014/chart" uri="{C3380CC4-5D6E-409C-BE32-E72D297353CC}">
              <c16:uniqueId val="{00000004-3DB9-4974-85E4-CA29FEA287FE}"/>
            </c:ext>
          </c:extLst>
        </c:ser>
        <c:ser>
          <c:idx val="3"/>
          <c:order val="4"/>
          <c:tx>
            <c:strRef>
              <c:f>'Rpt Cntnt'!$I$55</c:f>
              <c:strCache>
                <c:ptCount val="1"/>
                <c:pt idx="0">
                  <c:v>Benefits Start</c:v>
                </c:pt>
              </c:strCache>
            </c:strRef>
          </c:tx>
          <c:spPr>
            <a:ln w="28575">
              <a:noFill/>
            </a:ln>
          </c:spPr>
          <c:marker>
            <c:symbol val="diamond"/>
            <c:size val="10"/>
            <c:spPr>
              <a:solidFill>
                <a:schemeClr val="accent3">
                  <a:lumMod val="50000"/>
                </a:schemeClr>
              </a:solidFill>
              <a:ln>
                <a:noFill/>
              </a:ln>
              <a:scene3d>
                <a:camera prst="orthographicFront"/>
                <a:lightRig rig="threePt" dir="t"/>
              </a:scene3d>
              <a:sp3d/>
            </c:spPr>
          </c:marker>
          <c:dLbls>
            <c:dLbl>
              <c:idx val="1"/>
              <c:tx>
                <c:rich>
                  <a:bodyPr/>
                  <a:lstStyle/>
                  <a:p>
                    <a:r>
                      <a:rPr lang="en-US"/>
                      <a:t>Benefits Start</a:t>
                    </a:r>
                  </a:p>
                </c:rich>
              </c:tx>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3DB9-4974-85E4-CA29FEA287FE}"/>
                </c:ext>
              </c:extLst>
            </c:dLbl>
            <c:spPr>
              <a:noFill/>
              <a:ln>
                <a:noFill/>
              </a:ln>
              <a:effectLst/>
            </c:spPr>
            <c:txPr>
              <a:bodyPr rot="-5400000" vert="horz"/>
              <a:lstStyle/>
              <a:p>
                <a:pPr>
                  <a:defRPr/>
                </a:pPr>
                <a:endParaRPr lang="en-US"/>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'Rpt Cntnt'!$D$56:$D$59</c:f>
              <c:numCache>
                <c:formatCode>m/d/yyyy</c:formatCode>
                <c:ptCount val="4"/>
                <c:pt idx="0">
                  <c:v>43709</c:v>
                </c:pt>
                <c:pt idx="1">
                  <c:v>43891</c:v>
                </c:pt>
                <c:pt idx="2">
                  <c:v>44058</c:v>
                </c:pt>
                <c:pt idx="3">
                  <c:v>43466</c:v>
                </c:pt>
              </c:numCache>
            </c:numRef>
          </c:xVal>
          <c:yVal>
            <c:numRef>
              <c:f>'Rpt Cntnt'!$I$56:$I$59</c:f>
              <c:numCache>
                <c:formatCode>General</c:formatCode>
                <c:ptCount val="4"/>
                <c:pt idx="1">
                  <c:v>1E-3</c:v>
                </c:pt>
              </c:numCache>
            </c:numRef>
          </c:yVal>
          <c:smooth val="0"/>
          <c:extLst>
            <c:ext xmlns:c16="http://schemas.microsoft.com/office/drawing/2014/chart" uri="{C3380CC4-5D6E-409C-BE32-E72D297353CC}">
              <c16:uniqueId val="{00000006-3DB9-4974-85E4-CA29FEA287FE}"/>
            </c:ext>
          </c:extLst>
        </c:ser>
        <c:ser>
          <c:idx val="4"/>
          <c:order val="5"/>
          <c:tx>
            <c:strRef>
              <c:f>'Rpt Cntnt'!$J$55</c:f>
              <c:strCache>
                <c:ptCount val="1"/>
                <c:pt idx="0">
                  <c:v>Payback</c:v>
                </c:pt>
              </c:strCache>
            </c:strRef>
          </c:tx>
          <c:spPr>
            <a:ln w="28575">
              <a:noFill/>
            </a:ln>
          </c:spPr>
          <c:marker>
            <c:symbol val="circle"/>
            <c:size val="7"/>
            <c:spPr>
              <a:solidFill>
                <a:schemeClr val="tx2"/>
              </a:solidFill>
              <a:ln>
                <a:noFill/>
              </a:ln>
            </c:spPr>
          </c:marker>
          <c:dLbls>
            <c:dLbl>
              <c:idx val="2"/>
              <c:tx>
                <c:rich>
                  <a:bodyPr/>
                  <a:lstStyle/>
                  <a:p>
                    <a:r>
                      <a:rPr lang="en-US"/>
                      <a:t>Payback</a:t>
                    </a:r>
                  </a:p>
                </c:rich>
              </c:tx>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3DB9-4974-85E4-CA29FEA287FE}"/>
                </c:ext>
              </c:extLst>
            </c:dLbl>
            <c:spPr>
              <a:noFill/>
              <a:ln>
                <a:noFill/>
              </a:ln>
              <a:effectLst/>
            </c:spPr>
            <c:txPr>
              <a:bodyPr rot="-5400000" vert="horz"/>
              <a:lstStyle/>
              <a:p>
                <a:pPr>
                  <a:defRPr/>
                </a:pPr>
                <a:endParaRPr lang="en-US"/>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'Rpt Cntnt'!$D$56:$D$59</c:f>
              <c:numCache>
                <c:formatCode>m/d/yyyy</c:formatCode>
                <c:ptCount val="4"/>
                <c:pt idx="0">
                  <c:v>43709</c:v>
                </c:pt>
                <c:pt idx="1">
                  <c:v>43891</c:v>
                </c:pt>
                <c:pt idx="2">
                  <c:v>44058</c:v>
                </c:pt>
                <c:pt idx="3">
                  <c:v>43466</c:v>
                </c:pt>
              </c:numCache>
            </c:numRef>
          </c:xVal>
          <c:yVal>
            <c:numRef>
              <c:f>'Rpt Cntnt'!$J$56:$J$59</c:f>
              <c:numCache>
                <c:formatCode>General</c:formatCode>
                <c:ptCount val="4"/>
                <c:pt idx="2">
                  <c:v>1E-3</c:v>
                </c:pt>
              </c:numCache>
            </c:numRef>
          </c:yVal>
          <c:smooth val="0"/>
          <c:extLst>
            <c:ext xmlns:c16="http://schemas.microsoft.com/office/drawing/2014/chart" uri="{C3380CC4-5D6E-409C-BE32-E72D297353CC}">
              <c16:uniqueId val="{00000008-3DB9-4974-85E4-CA29FEA287FE}"/>
            </c:ext>
          </c:extLst>
        </c:ser>
        <c:dLbls>
          <c:showLegendKey val="0"/>
          <c:showVal val="0"/>
          <c:showCatName val="0"/>
          <c:showSerName val="0"/>
          <c:showPercent val="0"/>
          <c:showBubbleSize val="0"/>
        </c:dLbls>
        <c:axId val="159303168"/>
        <c:axId val="159305088"/>
      </c:scatterChart>
      <c:dateAx>
        <c:axId val="159303168"/>
        <c:scaling>
          <c:orientation val="minMax"/>
        </c:scaling>
        <c:delete val="0"/>
        <c:axPos val="b"/>
        <c:majorGridlines/>
        <c:title>
          <c:tx>
            <c:strRef>
              <c:f>"Year"</c:f>
              <c:strCache>
                <c:ptCount val="1"/>
                <c:pt idx="0">
                  <c:v>Year</c:v>
                </c:pt>
              </c:strCache>
            </c:strRef>
          </c:tx>
          <c:overlay val="0"/>
          <c:txPr>
            <a:bodyPr/>
            <a:lstStyle/>
            <a:p>
              <a:pPr>
                <a:defRPr/>
              </a:pPr>
              <a:endParaRPr lang="en-US"/>
            </a:p>
          </c:txPr>
        </c:title>
        <c:numFmt formatCode="yyyy" sourceLinked="0"/>
        <c:majorTickMark val="out"/>
        <c:minorTickMark val="out"/>
        <c:tickLblPos val="low"/>
        <c:spPr>
          <a:ln w="28575"/>
        </c:spPr>
        <c:crossAx val="159305088"/>
        <c:crosses val="autoZero"/>
        <c:auto val="0"/>
        <c:lblOffset val="100"/>
        <c:baseTimeUnit val="days"/>
        <c:majorUnit val="1"/>
        <c:majorTimeUnit val="years"/>
        <c:minorUnit val="6"/>
        <c:minorTimeUnit val="months"/>
      </c:dateAx>
      <c:valAx>
        <c:axId val="159305088"/>
        <c:scaling>
          <c:orientation val="minMax"/>
        </c:scaling>
        <c:delete val="0"/>
        <c:axPos val="l"/>
        <c:majorGridlines/>
        <c:title>
          <c:tx>
            <c:strRef>
              <c:f>"Cumulative Cash Flow (per User)"</c:f>
              <c:strCache>
                <c:ptCount val="1"/>
                <c:pt idx="0">
                  <c:v>Cumulative Cash Flow (per User)</c:v>
                </c:pt>
              </c:strCache>
            </c:strRef>
          </c:tx>
          <c:overlay val="0"/>
          <c:txPr>
            <a:bodyPr rot="-5400000" vert="horz"/>
            <a:lstStyle/>
            <a:p>
              <a:pPr>
                <a:defRPr/>
              </a:pPr>
              <a:endParaRPr lang="en-US"/>
            </a:p>
          </c:txPr>
        </c:title>
        <c:numFmt formatCode="_([$$]* #,##0_);_([$$]* \(#,##0\);_([$$]* &quot;-&quot;??_);_(@_)" sourceLinked="1"/>
        <c:majorTickMark val="out"/>
        <c:minorTickMark val="none"/>
        <c:tickLblPos val="nextTo"/>
        <c:crossAx val="159303168"/>
        <c:crossesAt val="1"/>
        <c:crossBetween val="between"/>
      </c:valAx>
    </c:plotArea>
    <c:legend>
      <c:legendPos val="r"/>
      <c:legendEntry>
        <c:idx val="0"/>
        <c:delete val="1"/>
      </c:legendEntry>
      <c:legendEntry>
        <c:idx val="1"/>
        <c:delete val="1"/>
      </c:legendEntry>
      <c:layout>
        <c:manualLayout>
          <c:xMode val="edge"/>
          <c:yMode val="edge"/>
          <c:x val="7.1999343832021029E-2"/>
          <c:y val="0.1076200767316392"/>
          <c:w val="0.89188954505686757"/>
          <c:h val="8.9495724210954933E-2"/>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111" l="0.70000000000000062" r="0.70000000000000062" t="0.750000000000001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9"/>
    </mc:Choice>
    <mc:Fallback>
      <c:style val="29"/>
    </mc:Fallback>
  </mc:AlternateContent>
  <c:chart>
    <c:title>
      <c:tx>
        <c:strRef>
          <c:f>ROI!$Q$26</c:f>
          <c:strCache>
            <c:ptCount val="1"/>
            <c:pt idx="0">
              <c:v>Initiative Benefit Summary
  (per User)</c:v>
            </c:pt>
          </c:strCache>
        </c:strRef>
      </c:tx>
      <c:overlay val="1"/>
      <c:txPr>
        <a:bodyPr/>
        <a:lstStyle/>
        <a:p>
          <a:pPr>
            <a:defRPr sz="1400"/>
          </a:pPr>
          <a:endParaRPr lang="en-US"/>
        </a:p>
      </c:txPr>
    </c:title>
    <c:autoTitleDeleted val="0"/>
    <c:plotArea>
      <c:layout>
        <c:manualLayout>
          <c:layoutTarget val="inner"/>
          <c:xMode val="edge"/>
          <c:yMode val="edge"/>
          <c:x val="0.2440944881889768"/>
          <c:y val="0.21806722076407206"/>
          <c:w val="0.3601271177863693"/>
          <c:h val="0.70066417002752701"/>
        </c:manualLayout>
      </c:layout>
      <c:barChart>
        <c:barDir val="col"/>
        <c:grouping val="stacked"/>
        <c:varyColors val="0"/>
        <c:ser>
          <c:idx val="0"/>
          <c:order val="0"/>
          <c:tx>
            <c:strRef>
              <c:f>ROI!$D$77</c:f>
              <c:strCache>
                <c:ptCount val="1"/>
                <c:pt idx="0">
                  <c:v>IT Spending/TCO Savings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ROI!$G$65</c:f>
              <c:strCache>
                <c:ptCount val="1"/>
                <c:pt idx="0">
                  <c:v>Project Total</c:v>
                </c:pt>
              </c:strCache>
            </c:strRef>
          </c:cat>
          <c:val>
            <c:numRef>
              <c:f>ROI!$G$77</c:f>
              <c:numCache>
                <c:formatCode>_([$$]* #,##0_);_([$$]* \(#,##0\);_([$$]* "-"??_);_(@_)</c:formatCode>
                <c:ptCount val="1"/>
                <c:pt idx="0">
                  <c:v>483.48524812665181</c:v>
                </c:pt>
              </c:numCache>
            </c:numRef>
          </c:val>
          <c:extLst>
            <c:ext xmlns:c16="http://schemas.microsoft.com/office/drawing/2014/chart" uri="{C3380CC4-5D6E-409C-BE32-E72D297353CC}">
              <c16:uniqueId val="{00000000-0D40-4C36-B977-38AB18409B27}"/>
            </c:ext>
          </c:extLst>
        </c:ser>
        <c:ser>
          <c:idx val="1"/>
          <c:order val="1"/>
          <c:tx>
            <c:strRef>
              <c:f>ROI!$D$78</c:f>
              <c:strCache>
                <c:ptCount val="1"/>
                <c:pt idx="0">
                  <c:v>Other Direct Cost Savings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ROI!$G$65</c:f>
              <c:strCache>
                <c:ptCount val="1"/>
                <c:pt idx="0">
                  <c:v>Project Total</c:v>
                </c:pt>
              </c:strCache>
            </c:strRef>
          </c:cat>
          <c:val>
            <c:numRef>
              <c:f>ROI!$G$78</c:f>
              <c:numCache>
                <c:formatCode>_([$$]* #,##0_);_([$$]* \(#,##0\);_([$$]* "-"??_);_(@_)</c:formatCode>
                <c:ptCount val="1"/>
                <c:pt idx="0">
                  <c:v>33.649808750000005</c:v>
                </c:pt>
              </c:numCache>
            </c:numRef>
          </c:val>
          <c:extLst>
            <c:ext xmlns:c16="http://schemas.microsoft.com/office/drawing/2014/chart" uri="{C3380CC4-5D6E-409C-BE32-E72D297353CC}">
              <c16:uniqueId val="{00000001-0D40-4C36-B977-38AB18409B27}"/>
            </c:ext>
          </c:extLst>
        </c:ser>
        <c:ser>
          <c:idx val="2"/>
          <c:order val="2"/>
          <c:tx>
            <c:strRef>
              <c:f>ROI!$D$79</c:f>
              <c:strCache>
                <c:ptCount val="1"/>
                <c:pt idx="0">
                  <c:v>User Productivity Benefits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ROI!$G$65</c:f>
              <c:strCache>
                <c:ptCount val="1"/>
                <c:pt idx="0">
                  <c:v>Project Total</c:v>
                </c:pt>
              </c:strCache>
            </c:strRef>
          </c:cat>
          <c:val>
            <c:numRef>
              <c:f>ROI!$G$79</c:f>
              <c:numCache>
                <c:formatCode>_([$$]* #,##0_);_([$$]* \(#,##0\);_([$$]* "-"??_);_(@_)</c:formatCode>
                <c:ptCount val="1"/>
                <c:pt idx="0">
                  <c:v>401.71674753961111</c:v>
                </c:pt>
              </c:numCache>
            </c:numRef>
          </c:val>
          <c:extLst>
            <c:ext xmlns:c16="http://schemas.microsoft.com/office/drawing/2014/chart" uri="{C3380CC4-5D6E-409C-BE32-E72D297353CC}">
              <c16:uniqueId val="{00000002-0D40-4C36-B977-38AB18409B27}"/>
            </c:ext>
          </c:extLst>
        </c:ser>
        <c:ser>
          <c:idx val="3"/>
          <c:order val="3"/>
          <c:tx>
            <c:strRef>
              <c:f>ROI!$D$80</c:f>
              <c:strCache>
                <c:ptCount val="1"/>
                <c:pt idx="0">
                  <c:v>Revenue Growth</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ROI!$G$65</c:f>
              <c:strCache>
                <c:ptCount val="1"/>
                <c:pt idx="0">
                  <c:v>Project Total</c:v>
                </c:pt>
              </c:strCache>
            </c:strRef>
          </c:cat>
          <c:val>
            <c:numRef>
              <c:f>ROI!$G$80</c:f>
              <c:numCache>
                <c:formatCode>_([$$]* #,##0_);_([$$]* \(#,##0\);_([$$]* "-"??_);_(@_)</c:formatCode>
                <c:ptCount val="1"/>
                <c:pt idx="0">
                  <c:v>138.20688772568315</c:v>
                </c:pt>
              </c:numCache>
            </c:numRef>
          </c:val>
          <c:extLst>
            <c:ext xmlns:c16="http://schemas.microsoft.com/office/drawing/2014/chart" uri="{C3380CC4-5D6E-409C-BE32-E72D297353CC}">
              <c16:uniqueId val="{00000003-0D40-4C36-B977-38AB18409B27}"/>
            </c:ext>
          </c:extLst>
        </c:ser>
        <c:dLbls>
          <c:showLegendKey val="0"/>
          <c:showVal val="1"/>
          <c:showCatName val="0"/>
          <c:showSerName val="0"/>
          <c:showPercent val="0"/>
          <c:showBubbleSize val="0"/>
        </c:dLbls>
        <c:gapWidth val="150"/>
        <c:overlap val="100"/>
        <c:axId val="138801920"/>
        <c:axId val="138803456"/>
      </c:barChart>
      <c:catAx>
        <c:axId val="138801920"/>
        <c:scaling>
          <c:orientation val="minMax"/>
        </c:scaling>
        <c:delete val="1"/>
        <c:axPos val="b"/>
        <c:numFmt formatCode="General" sourceLinked="0"/>
        <c:majorTickMark val="out"/>
        <c:minorTickMark val="none"/>
        <c:tickLblPos val="none"/>
        <c:crossAx val="138803456"/>
        <c:crosses val="autoZero"/>
        <c:auto val="1"/>
        <c:lblAlgn val="ctr"/>
        <c:lblOffset val="100"/>
        <c:noMultiLvlLbl val="0"/>
      </c:catAx>
      <c:valAx>
        <c:axId val="138803456"/>
        <c:scaling>
          <c:orientation val="minMax"/>
        </c:scaling>
        <c:delete val="0"/>
        <c:axPos val="l"/>
        <c:majorGridlines/>
        <c:title>
          <c:tx>
            <c:strRef>
              <c:f>ROI!$Q$27</c:f>
              <c:strCache>
                <c:ptCount val="1"/>
                <c:pt idx="0">
                  <c:v>Benefits (per User)</c:v>
                </c:pt>
              </c:strCache>
            </c:strRef>
          </c:tx>
          <c:overlay val="0"/>
          <c:txPr>
            <a:bodyPr rot="-5400000" vert="horz"/>
            <a:lstStyle/>
            <a:p>
              <a:pPr>
                <a:defRPr/>
              </a:pPr>
              <a:endParaRPr lang="en-US"/>
            </a:p>
          </c:txPr>
        </c:title>
        <c:numFmt formatCode="_([$$]* #,##0_);_([$$]* \(#,##0\);_([$$]* &quot;-&quot;??_);_(@_)" sourceLinked="1"/>
        <c:majorTickMark val="out"/>
        <c:minorTickMark val="none"/>
        <c:tickLblPos val="nextTo"/>
        <c:crossAx val="138801920"/>
        <c:crosses val="autoZero"/>
        <c:crossBetween val="between"/>
      </c:valAx>
    </c:plotArea>
    <c:legend>
      <c:legendPos val="r"/>
      <c:layout>
        <c:manualLayout>
          <c:xMode val="edge"/>
          <c:yMode val="edge"/>
          <c:x val="0.60985014487867961"/>
          <c:y val="0.19753864100320792"/>
          <c:w val="0.36767816866928588"/>
          <c:h val="0.73522183221073956"/>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322" l="0.70000000000000062" r="0.70000000000000062" t="0.750000000000003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"Cumulative Cash Flow"</c:f>
          <c:strCache>
            <c:ptCount val="1"/>
            <c:pt idx="0">
              <c:v>Cumulative Cash Flow</c:v>
            </c:pt>
          </c:strCache>
        </c:strRef>
      </c:tx>
      <c:overlay val="0"/>
      <c:txPr>
        <a:bodyPr/>
        <a:lstStyle/>
        <a:p>
          <a:pPr>
            <a:defRPr/>
          </a:pPr>
          <a:endParaRPr lang="en-US"/>
        </a:p>
      </c:txPr>
    </c:title>
    <c:autoTitleDeleted val="0"/>
    <c:plotArea>
      <c:layout>
        <c:manualLayout>
          <c:layoutTarget val="inner"/>
          <c:xMode val="edge"/>
          <c:yMode val="edge"/>
          <c:x val="0.1901594264644775"/>
          <c:y val="0.20258409592410595"/>
          <c:w val="0.7651731810076845"/>
          <c:h val="0.62727636857252334"/>
        </c:manualLayout>
      </c:layout>
      <c:areaChart>
        <c:grouping val="standard"/>
        <c:varyColors val="0"/>
        <c:ser>
          <c:idx val="0"/>
          <c:order val="0"/>
          <c:tx>
            <c:strRef>
              <c:f>'Rpt Cntnt'!$E$55</c:f>
              <c:strCache>
                <c:ptCount val="1"/>
                <c:pt idx="0">
                  <c:v>Neg Cumulative Cash</c:v>
                </c:pt>
              </c:strCache>
            </c:strRef>
          </c:tx>
          <c:spPr>
            <a:gradFill flip="none" rotWithShape="1">
              <a:gsLst>
                <a:gs pos="0">
                  <a:srgbClr val="C00000"/>
                </a:gs>
                <a:gs pos="50000">
                  <a:srgbClr val="FF0000"/>
                </a:gs>
                <a:gs pos="100000">
                  <a:schemeClr val="accent2">
                    <a:lumMod val="20000"/>
                    <a:lumOff val="80000"/>
                  </a:schemeClr>
                </a:gs>
              </a:gsLst>
              <a:lin ang="16200000" scaled="1"/>
              <a:tileRect/>
            </a:gradFill>
            <a:scene3d>
              <a:camera prst="orthographicFront"/>
              <a:lightRig rig="threePt" dir="t"/>
            </a:scene3d>
            <a:sp3d>
              <a:bevelT w="50800"/>
            </a:sp3d>
          </c:spPr>
          <c:cat>
            <c:numRef>
              <c:f>[0]!dCFYr</c:f>
              <c:numCache>
                <c:formatCode>m/d/yyyy</c:formatCode>
                <c:ptCount val="9"/>
                <c:pt idx="0">
                  <c:v>43709</c:v>
                </c:pt>
                <c:pt idx="1">
                  <c:v>43891</c:v>
                </c:pt>
                <c:pt idx="2">
                  <c:v>44058</c:v>
                </c:pt>
                <c:pt idx="3">
                  <c:v>43466</c:v>
                </c:pt>
                <c:pt idx="4">
                  <c:v>44256</c:v>
                </c:pt>
                <c:pt idx="5">
                  <c:v>44621</c:v>
                </c:pt>
                <c:pt idx="6">
                  <c:v>44986</c:v>
                </c:pt>
                <c:pt idx="7">
                  <c:v>45352</c:v>
                </c:pt>
                <c:pt idx="8">
                  <c:v>45717</c:v>
                </c:pt>
              </c:numCache>
            </c:numRef>
          </c:cat>
          <c:val>
            <c:numRef>
              <c:f>[0]!dCFneg</c:f>
              <c:numCache>
                <c:formatCode>_([$$]* #,##0_);_([$$]* \(#,##0\);_([$$]* "-"??_);_(@_)</c:formatCode>
                <c:ptCount val="9"/>
                <c:pt idx="0">
                  <c:v>0</c:v>
                </c:pt>
                <c:pt idx="1">
                  <c:v>-94.356345249593844</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8157-4299-8894-6B699716DE01}"/>
            </c:ext>
          </c:extLst>
        </c:ser>
        <c:ser>
          <c:idx val="1"/>
          <c:order val="1"/>
          <c:tx>
            <c:strRef>
              <c:f>'Rpt Cntnt'!$F$55</c:f>
              <c:strCache>
                <c:ptCount val="1"/>
                <c:pt idx="0">
                  <c:v>Pos Cumulative Cash</c:v>
                </c:pt>
              </c:strCache>
            </c:strRef>
          </c:tx>
          <c:spPr>
            <a:gradFill>
              <a:gsLst>
                <a:gs pos="0">
                  <a:schemeClr val="accent3">
                    <a:lumMod val="20000"/>
                    <a:lumOff val="80000"/>
                  </a:schemeClr>
                </a:gs>
                <a:gs pos="100000">
                  <a:schemeClr val="accent3">
                    <a:lumMod val="75000"/>
                  </a:schemeClr>
                </a:gs>
              </a:gsLst>
              <a:lin ang="16200000" scaled="1"/>
            </a:gradFill>
            <a:scene3d>
              <a:camera prst="orthographicFront"/>
              <a:lightRig rig="threePt" dir="t"/>
            </a:scene3d>
            <a:sp3d>
              <a:bevelT w="50800"/>
            </a:sp3d>
          </c:spPr>
          <c:cat>
            <c:numRef>
              <c:f>[0]!dCFYr</c:f>
              <c:numCache>
                <c:formatCode>m/d/yyyy</c:formatCode>
                <c:ptCount val="9"/>
                <c:pt idx="0">
                  <c:v>43709</c:v>
                </c:pt>
                <c:pt idx="1">
                  <c:v>43891</c:v>
                </c:pt>
                <c:pt idx="2">
                  <c:v>44058</c:v>
                </c:pt>
                <c:pt idx="3">
                  <c:v>43466</c:v>
                </c:pt>
                <c:pt idx="4">
                  <c:v>44256</c:v>
                </c:pt>
                <c:pt idx="5">
                  <c:v>44621</c:v>
                </c:pt>
                <c:pt idx="6">
                  <c:v>44986</c:v>
                </c:pt>
                <c:pt idx="7">
                  <c:v>45352</c:v>
                </c:pt>
                <c:pt idx="8">
                  <c:v>45717</c:v>
                </c:pt>
              </c:numCache>
            </c:numRef>
          </c:cat>
          <c:val>
            <c:numRef>
              <c:f>'Rpt Cntnt'!$F$56:$F$69</c:f>
              <c:numCache>
                <c:formatCode>_([$$]* #,##0_);_([$$]* \(#,##0\);_([$$]* "-"??_);_(@_)</c:formatCode>
                <c:ptCount val="14"/>
                <c:pt idx="0">
                  <c:v>0</c:v>
                </c:pt>
                <c:pt idx="1">
                  <c:v>0</c:v>
                </c:pt>
                <c:pt idx="2">
                  <c:v>0</c:v>
                </c:pt>
                <c:pt idx="3">
                  <c:v>0</c:v>
                </c:pt>
                <c:pt idx="4">
                  <c:v>112.05123682677562</c:v>
                </c:pt>
                <c:pt idx="5">
                  <c:v>310.9888189031451</c:v>
                </c:pt>
                <c:pt idx="6">
                  <c:v>509.9264009795146</c:v>
                </c:pt>
                <c:pt idx="7">
                  <c:v>708.86398305588409</c:v>
                </c:pt>
                <c:pt idx="8">
                  <c:v>907.80156513225359</c:v>
                </c:pt>
                <c:pt idx="9">
                  <c:v>907.80156513225359</c:v>
                </c:pt>
                <c:pt idx="10">
                  <c:v>907.80156513225359</c:v>
                </c:pt>
                <c:pt idx="11">
                  <c:v>907.80156513225359</c:v>
                </c:pt>
                <c:pt idx="12">
                  <c:v>907.80156513225359</c:v>
                </c:pt>
                <c:pt idx="13">
                  <c:v>907.80156513225359</c:v>
                </c:pt>
              </c:numCache>
            </c:numRef>
          </c:val>
          <c:extLst>
            <c:ext xmlns:c16="http://schemas.microsoft.com/office/drawing/2014/chart" uri="{C3380CC4-5D6E-409C-BE32-E72D297353CC}">
              <c16:uniqueId val="{00000001-8157-4299-8894-6B699716DE01}"/>
            </c:ext>
          </c:extLst>
        </c:ser>
        <c:dLbls>
          <c:showLegendKey val="0"/>
          <c:showVal val="0"/>
          <c:showCatName val="0"/>
          <c:showSerName val="0"/>
          <c:showPercent val="0"/>
          <c:showBubbleSize val="0"/>
        </c:dLbls>
        <c:axId val="159303168"/>
        <c:axId val="159305088"/>
      </c:areaChart>
      <c:lineChart>
        <c:grouping val="standard"/>
        <c:varyColors val="0"/>
        <c:ser>
          <c:idx val="2"/>
          <c:order val="2"/>
          <c:tx>
            <c:strRef>
              <c:f>'Rpt Cntnt'!$G$55</c:f>
              <c:strCache>
                <c:ptCount val="1"/>
                <c:pt idx="0">
                  <c:v>Deploy Start</c:v>
                </c:pt>
              </c:strCache>
            </c:strRef>
          </c:tx>
          <c:spPr>
            <a:ln>
              <a:noFill/>
            </a:ln>
          </c:spPr>
          <c:marker>
            <c:symbol val="triangle"/>
            <c:size val="10"/>
            <c:spPr>
              <a:solidFill>
                <a:schemeClr val="tx1"/>
              </a:solidFill>
              <a:ln>
                <a:noFill/>
              </a:ln>
              <a:scene3d>
                <a:camera prst="orthographicFront"/>
                <a:lightRig rig="threePt" dir="t"/>
              </a:scene3d>
              <a:sp3d/>
            </c:spPr>
          </c:marker>
          <c:dLbls>
            <c:dLbl>
              <c:idx val="1"/>
              <c:tx>
                <c:rich>
                  <a:bodyPr/>
                  <a:lstStyle/>
                  <a:p>
                    <a:r>
                      <a:rPr lang="en-US"/>
                      <a:t>Deploy Start</a:t>
                    </a:r>
                  </a:p>
                </c:rich>
              </c:tx>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157-4299-8894-6B699716DE01}"/>
                </c:ext>
              </c:extLst>
            </c:dLbl>
            <c:spPr>
              <a:noFill/>
              <a:ln>
                <a:noFill/>
              </a:ln>
              <a:effectLst/>
            </c:spPr>
            <c:txPr>
              <a:bodyPr rot="-5400000" vert="horz"/>
              <a:lstStyle/>
              <a:p>
                <a:pPr>
                  <a:defRPr/>
                </a:pPr>
                <a:endParaRPr lang="en-US"/>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'Rpt Cntnt'!$D$56:$D$69</c:f>
              <c:numCache>
                <c:formatCode>m/d/yyyy</c:formatCode>
                <c:ptCount val="14"/>
                <c:pt idx="0">
                  <c:v>43709</c:v>
                </c:pt>
                <c:pt idx="1">
                  <c:v>43891</c:v>
                </c:pt>
                <c:pt idx="2">
                  <c:v>44058</c:v>
                </c:pt>
                <c:pt idx="3">
                  <c:v>43466</c:v>
                </c:pt>
                <c:pt idx="4">
                  <c:v>44256</c:v>
                </c:pt>
                <c:pt idx="5">
                  <c:v>44621</c:v>
                </c:pt>
                <c:pt idx="6">
                  <c:v>44986</c:v>
                </c:pt>
                <c:pt idx="7">
                  <c:v>45352</c:v>
                </c:pt>
                <c:pt idx="8">
                  <c:v>45717</c:v>
                </c:pt>
                <c:pt idx="9">
                  <c:v>46082</c:v>
                </c:pt>
                <c:pt idx="10">
                  <c:v>46447</c:v>
                </c:pt>
                <c:pt idx="11">
                  <c:v>46813</c:v>
                </c:pt>
                <c:pt idx="12">
                  <c:v>47178</c:v>
                </c:pt>
                <c:pt idx="13">
                  <c:v>47543</c:v>
                </c:pt>
              </c:numCache>
            </c:numRef>
          </c:cat>
          <c:val>
            <c:numRef>
              <c:f>'Rpt Cntnt'!$G$56:$G$69</c:f>
              <c:numCache>
                <c:formatCode>General</c:formatCode>
                <c:ptCount val="14"/>
                <c:pt idx="0">
                  <c:v>1E-3</c:v>
                </c:pt>
              </c:numCache>
            </c:numRef>
          </c:val>
          <c:smooth val="0"/>
          <c:extLst>
            <c:ext xmlns:c16="http://schemas.microsoft.com/office/drawing/2014/chart" uri="{C3380CC4-5D6E-409C-BE32-E72D297353CC}">
              <c16:uniqueId val="{00000003-8157-4299-8894-6B699716DE01}"/>
            </c:ext>
          </c:extLst>
        </c:ser>
        <c:dLbls>
          <c:showLegendKey val="0"/>
          <c:showVal val="0"/>
          <c:showCatName val="0"/>
          <c:showSerName val="0"/>
          <c:showPercent val="0"/>
          <c:showBubbleSize val="0"/>
        </c:dLbls>
        <c:marker val="1"/>
        <c:smooth val="0"/>
        <c:axId val="159303168"/>
        <c:axId val="159305088"/>
      </c:lineChart>
      <c:scatterChart>
        <c:scatterStyle val="lineMarker"/>
        <c:varyColors val="0"/>
        <c:ser>
          <c:idx val="5"/>
          <c:order val="3"/>
          <c:tx>
            <c:strRef>
              <c:f>'Rpt Cntnt'!$H$55</c:f>
              <c:strCache>
                <c:ptCount val="1"/>
                <c:pt idx="0">
                  <c:v>Deployment</c:v>
                </c:pt>
              </c:strCache>
            </c:strRef>
          </c:tx>
          <c:spPr>
            <a:ln w="28575">
              <a:solidFill>
                <a:srgbClr val="FF0000"/>
              </a:solidFill>
            </a:ln>
          </c:spPr>
          <c:marker>
            <c:symbol val="none"/>
          </c:marker>
          <c:xVal>
            <c:numRef>
              <c:f>'Rpt Cntnt'!$D$56:$D$59</c:f>
              <c:numCache>
                <c:formatCode>m/d/yyyy</c:formatCode>
                <c:ptCount val="4"/>
                <c:pt idx="0">
                  <c:v>43709</c:v>
                </c:pt>
                <c:pt idx="1">
                  <c:v>43891</c:v>
                </c:pt>
                <c:pt idx="2">
                  <c:v>44058</c:v>
                </c:pt>
                <c:pt idx="3">
                  <c:v>43466</c:v>
                </c:pt>
              </c:numCache>
            </c:numRef>
          </c:xVal>
          <c:yVal>
            <c:numRef>
              <c:f>'Rpt Cntnt'!$H$56:$H$59</c:f>
              <c:numCache>
                <c:formatCode>General</c:formatCode>
                <c:ptCount val="4"/>
                <c:pt idx="0">
                  <c:v>1E-3</c:v>
                </c:pt>
                <c:pt idx="1">
                  <c:v>1E-3</c:v>
                </c:pt>
              </c:numCache>
            </c:numRef>
          </c:yVal>
          <c:smooth val="0"/>
          <c:extLst>
            <c:ext xmlns:c16="http://schemas.microsoft.com/office/drawing/2014/chart" uri="{C3380CC4-5D6E-409C-BE32-E72D297353CC}">
              <c16:uniqueId val="{00000004-8157-4299-8894-6B699716DE01}"/>
            </c:ext>
          </c:extLst>
        </c:ser>
        <c:ser>
          <c:idx val="3"/>
          <c:order val="4"/>
          <c:tx>
            <c:strRef>
              <c:f>'Rpt Cntnt'!$I$55</c:f>
              <c:strCache>
                <c:ptCount val="1"/>
                <c:pt idx="0">
                  <c:v>Benefits Start</c:v>
                </c:pt>
              </c:strCache>
            </c:strRef>
          </c:tx>
          <c:spPr>
            <a:ln w="28575">
              <a:noFill/>
            </a:ln>
          </c:spPr>
          <c:marker>
            <c:symbol val="diamond"/>
            <c:size val="10"/>
            <c:spPr>
              <a:solidFill>
                <a:schemeClr val="accent3">
                  <a:lumMod val="50000"/>
                </a:schemeClr>
              </a:solidFill>
              <a:ln>
                <a:noFill/>
              </a:ln>
              <a:scene3d>
                <a:camera prst="orthographicFront"/>
                <a:lightRig rig="threePt" dir="t"/>
              </a:scene3d>
              <a:sp3d/>
            </c:spPr>
          </c:marker>
          <c:dLbls>
            <c:dLbl>
              <c:idx val="1"/>
              <c:tx>
                <c:rich>
                  <a:bodyPr/>
                  <a:lstStyle/>
                  <a:p>
                    <a:r>
                      <a:rPr lang="en-US"/>
                      <a:t>Benefits Start</a:t>
                    </a:r>
                  </a:p>
                </c:rich>
              </c:tx>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8157-4299-8894-6B699716DE01}"/>
                </c:ext>
              </c:extLst>
            </c:dLbl>
            <c:spPr>
              <a:noFill/>
              <a:ln>
                <a:noFill/>
              </a:ln>
              <a:effectLst/>
            </c:spPr>
            <c:txPr>
              <a:bodyPr rot="-5400000" vert="horz"/>
              <a:lstStyle/>
              <a:p>
                <a:pPr>
                  <a:defRPr/>
                </a:pPr>
                <a:endParaRPr lang="en-US"/>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'Rpt Cntnt'!$D$56:$D$59</c:f>
              <c:numCache>
                <c:formatCode>m/d/yyyy</c:formatCode>
                <c:ptCount val="4"/>
                <c:pt idx="0">
                  <c:v>43709</c:v>
                </c:pt>
                <c:pt idx="1">
                  <c:v>43891</c:v>
                </c:pt>
                <c:pt idx="2">
                  <c:v>44058</c:v>
                </c:pt>
                <c:pt idx="3">
                  <c:v>43466</c:v>
                </c:pt>
              </c:numCache>
            </c:numRef>
          </c:xVal>
          <c:yVal>
            <c:numRef>
              <c:f>'Rpt Cntnt'!$I$56:$I$59</c:f>
              <c:numCache>
                <c:formatCode>General</c:formatCode>
                <c:ptCount val="4"/>
                <c:pt idx="1">
                  <c:v>1E-3</c:v>
                </c:pt>
              </c:numCache>
            </c:numRef>
          </c:yVal>
          <c:smooth val="0"/>
          <c:extLst>
            <c:ext xmlns:c16="http://schemas.microsoft.com/office/drawing/2014/chart" uri="{C3380CC4-5D6E-409C-BE32-E72D297353CC}">
              <c16:uniqueId val="{00000006-8157-4299-8894-6B699716DE01}"/>
            </c:ext>
          </c:extLst>
        </c:ser>
        <c:ser>
          <c:idx val="4"/>
          <c:order val="5"/>
          <c:tx>
            <c:strRef>
              <c:f>'Rpt Cntnt'!$J$55</c:f>
              <c:strCache>
                <c:ptCount val="1"/>
                <c:pt idx="0">
                  <c:v>Payback</c:v>
                </c:pt>
              </c:strCache>
            </c:strRef>
          </c:tx>
          <c:spPr>
            <a:ln w="28575">
              <a:noFill/>
            </a:ln>
          </c:spPr>
          <c:marker>
            <c:symbol val="circle"/>
            <c:size val="7"/>
            <c:spPr>
              <a:solidFill>
                <a:schemeClr val="tx2"/>
              </a:solidFill>
              <a:ln>
                <a:noFill/>
              </a:ln>
            </c:spPr>
          </c:marker>
          <c:dLbls>
            <c:dLbl>
              <c:idx val="2"/>
              <c:tx>
                <c:rich>
                  <a:bodyPr/>
                  <a:lstStyle/>
                  <a:p>
                    <a:r>
                      <a:rPr lang="en-US"/>
                      <a:t>Payback</a:t>
                    </a:r>
                  </a:p>
                </c:rich>
              </c:tx>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8157-4299-8894-6B699716DE01}"/>
                </c:ext>
              </c:extLst>
            </c:dLbl>
            <c:spPr>
              <a:noFill/>
              <a:ln>
                <a:noFill/>
              </a:ln>
              <a:effectLst/>
            </c:spPr>
            <c:txPr>
              <a:bodyPr rot="-5400000" vert="horz"/>
              <a:lstStyle/>
              <a:p>
                <a:pPr>
                  <a:defRPr/>
                </a:pPr>
                <a:endParaRPr lang="en-US"/>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'Rpt Cntnt'!$D$56:$D$59</c:f>
              <c:numCache>
                <c:formatCode>m/d/yyyy</c:formatCode>
                <c:ptCount val="4"/>
                <c:pt idx="0">
                  <c:v>43709</c:v>
                </c:pt>
                <c:pt idx="1">
                  <c:v>43891</c:v>
                </c:pt>
                <c:pt idx="2">
                  <c:v>44058</c:v>
                </c:pt>
                <c:pt idx="3">
                  <c:v>43466</c:v>
                </c:pt>
              </c:numCache>
            </c:numRef>
          </c:xVal>
          <c:yVal>
            <c:numRef>
              <c:f>'Rpt Cntnt'!$J$56:$J$59</c:f>
              <c:numCache>
                <c:formatCode>General</c:formatCode>
                <c:ptCount val="4"/>
                <c:pt idx="2">
                  <c:v>1E-3</c:v>
                </c:pt>
              </c:numCache>
            </c:numRef>
          </c:yVal>
          <c:smooth val="0"/>
          <c:extLst>
            <c:ext xmlns:c16="http://schemas.microsoft.com/office/drawing/2014/chart" uri="{C3380CC4-5D6E-409C-BE32-E72D297353CC}">
              <c16:uniqueId val="{00000008-8157-4299-8894-6B699716DE01}"/>
            </c:ext>
          </c:extLst>
        </c:ser>
        <c:dLbls>
          <c:showLegendKey val="0"/>
          <c:showVal val="0"/>
          <c:showCatName val="0"/>
          <c:showSerName val="0"/>
          <c:showPercent val="0"/>
          <c:showBubbleSize val="0"/>
        </c:dLbls>
        <c:axId val="159303168"/>
        <c:axId val="159305088"/>
      </c:scatterChart>
      <c:dateAx>
        <c:axId val="159303168"/>
        <c:scaling>
          <c:orientation val="minMax"/>
        </c:scaling>
        <c:delete val="0"/>
        <c:axPos val="b"/>
        <c:majorGridlines/>
        <c:title>
          <c:tx>
            <c:strRef>
              <c:f>"Year"</c:f>
              <c:strCache>
                <c:ptCount val="1"/>
                <c:pt idx="0">
                  <c:v>Year</c:v>
                </c:pt>
              </c:strCache>
            </c:strRef>
          </c:tx>
          <c:overlay val="0"/>
          <c:txPr>
            <a:bodyPr/>
            <a:lstStyle/>
            <a:p>
              <a:pPr>
                <a:defRPr/>
              </a:pPr>
              <a:endParaRPr lang="en-US"/>
            </a:p>
          </c:txPr>
        </c:title>
        <c:numFmt formatCode="yyyy" sourceLinked="0"/>
        <c:majorTickMark val="out"/>
        <c:minorTickMark val="out"/>
        <c:tickLblPos val="low"/>
        <c:spPr>
          <a:ln w="28575"/>
        </c:spPr>
        <c:crossAx val="159305088"/>
        <c:crosses val="autoZero"/>
        <c:auto val="0"/>
        <c:lblOffset val="100"/>
        <c:baseTimeUnit val="days"/>
        <c:majorUnit val="1"/>
        <c:majorTimeUnit val="years"/>
        <c:minorUnit val="6"/>
        <c:minorTimeUnit val="months"/>
      </c:dateAx>
      <c:valAx>
        <c:axId val="159305088"/>
        <c:scaling>
          <c:orientation val="minMax"/>
        </c:scaling>
        <c:delete val="0"/>
        <c:axPos val="l"/>
        <c:majorGridlines/>
        <c:title>
          <c:tx>
            <c:strRef>
              <c:f>"Cumulative Cash Flow (per User)"</c:f>
              <c:strCache>
                <c:ptCount val="1"/>
                <c:pt idx="0">
                  <c:v>Cumulative Cash Flow (per User)</c:v>
                </c:pt>
              </c:strCache>
            </c:strRef>
          </c:tx>
          <c:overlay val="0"/>
          <c:txPr>
            <a:bodyPr rot="-5400000" vert="horz"/>
            <a:lstStyle/>
            <a:p>
              <a:pPr>
                <a:defRPr/>
              </a:pPr>
              <a:endParaRPr lang="en-US"/>
            </a:p>
          </c:txPr>
        </c:title>
        <c:numFmt formatCode="_([$$]* #,##0_);_([$$]* \(#,##0\);_([$$]* &quot;-&quot;??_);_(@_)" sourceLinked="1"/>
        <c:majorTickMark val="out"/>
        <c:minorTickMark val="none"/>
        <c:tickLblPos val="nextTo"/>
        <c:crossAx val="159303168"/>
        <c:crossesAt val="1"/>
        <c:crossBetween val="between"/>
      </c:valAx>
    </c:plotArea>
    <c:legend>
      <c:legendPos val="r"/>
      <c:legendEntry>
        <c:idx val="0"/>
        <c:delete val="1"/>
      </c:legendEntry>
      <c:legendEntry>
        <c:idx val="1"/>
        <c:delete val="1"/>
      </c:legendEntry>
      <c:layout>
        <c:manualLayout>
          <c:xMode val="edge"/>
          <c:yMode val="edge"/>
          <c:x val="2.7660426057194154E-2"/>
          <c:y val="0.10762014178832631"/>
          <c:w val="0.96473189069893572"/>
          <c:h val="8.9495894863675846E-2"/>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0111" l="0.70000000000000062" r="0.70000000000000062" t="0.750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Costs!$N$15</c:f>
          <c:strCache>
            <c:ptCount val="1"/>
            <c:pt idx="0">
              <c:v>Total Implementation Costs
 (per User)</c:v>
            </c:pt>
          </c:strCache>
        </c:strRef>
      </c:tx>
      <c:layout>
        <c:manualLayout>
          <c:xMode val="edge"/>
          <c:yMode val="edge"/>
          <c:x val="0.15809432133941798"/>
          <c:y val="6.461928831786052E-3"/>
        </c:manualLayout>
      </c:layout>
      <c:overlay val="0"/>
      <c:txPr>
        <a:bodyPr/>
        <a:lstStyle/>
        <a:p>
          <a:pPr>
            <a:defRPr/>
          </a:pPr>
          <a:endParaRPr lang="en-US"/>
        </a:p>
      </c:txPr>
    </c:title>
    <c:autoTitleDeleted val="0"/>
    <c:plotArea>
      <c:layout>
        <c:manualLayout>
          <c:layoutTarget val="inner"/>
          <c:xMode val="edge"/>
          <c:yMode val="edge"/>
          <c:x val="0.23651088684337143"/>
          <c:y val="0.19032590235683455"/>
          <c:w val="0.35494525156186468"/>
          <c:h val="0.66159856616389245"/>
        </c:manualLayout>
      </c:layout>
      <c:barChart>
        <c:barDir val="col"/>
        <c:grouping val="stacked"/>
        <c:varyColors val="0"/>
        <c:ser>
          <c:idx val="0"/>
          <c:order val="0"/>
          <c:tx>
            <c:strRef>
              <c:f>Costs!$C$7</c:f>
              <c:strCache>
                <c:ptCount val="1"/>
                <c:pt idx="0">
                  <c:v>Hardware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Costs!$I$6</c:f>
              <c:strCache>
                <c:ptCount val="1"/>
                <c:pt idx="0">
                  <c:v>Project Total</c:v>
                </c:pt>
              </c:strCache>
            </c:strRef>
          </c:cat>
          <c:val>
            <c:numRef>
              <c:f>Costs!$I$7</c:f>
              <c:numCache>
                <c:formatCode>_([$$]* #,##0_);_([$$]* \(#,##0\);_([$$]* "-"_);_(@_)</c:formatCode>
                <c:ptCount val="1"/>
                <c:pt idx="0">
                  <c:v>26.249999999999996</c:v>
                </c:pt>
              </c:numCache>
            </c:numRef>
          </c:val>
          <c:extLst>
            <c:ext xmlns:c16="http://schemas.microsoft.com/office/drawing/2014/chart" uri="{C3380CC4-5D6E-409C-BE32-E72D297353CC}">
              <c16:uniqueId val="{00000000-95AF-41F7-A153-1C7AEE0DE974}"/>
            </c:ext>
          </c:extLst>
        </c:ser>
        <c:ser>
          <c:idx val="1"/>
          <c:order val="1"/>
          <c:tx>
            <c:strRef>
              <c:f>Costs!$C$8</c:f>
              <c:strCache>
                <c:ptCount val="1"/>
                <c:pt idx="0">
                  <c:v>Software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Costs!$I$6</c:f>
              <c:strCache>
                <c:ptCount val="1"/>
                <c:pt idx="0">
                  <c:v>Project Total</c:v>
                </c:pt>
              </c:strCache>
            </c:strRef>
          </c:cat>
          <c:val>
            <c:numRef>
              <c:f>Costs!$I$8</c:f>
              <c:numCache>
                <c:formatCode>_([$$]* #,##0_);_([$$]* \(#,##0\);_([$$]* "-"_);_(@_)</c:formatCode>
                <c:ptCount val="1"/>
                <c:pt idx="0">
                  <c:v>66.829166666666652</c:v>
                </c:pt>
              </c:numCache>
            </c:numRef>
          </c:val>
          <c:extLst>
            <c:ext xmlns:c16="http://schemas.microsoft.com/office/drawing/2014/chart" uri="{C3380CC4-5D6E-409C-BE32-E72D297353CC}">
              <c16:uniqueId val="{00000001-95AF-41F7-A153-1C7AEE0DE974}"/>
            </c:ext>
          </c:extLst>
        </c:ser>
        <c:ser>
          <c:idx val="2"/>
          <c:order val="2"/>
          <c:tx>
            <c:strRef>
              <c:f>Costs!$C$9</c:f>
              <c:strCache>
                <c:ptCount val="1"/>
                <c:pt idx="0">
                  <c:v>IT Labor, Services, &amp; Training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Costs!$I$6</c:f>
              <c:strCache>
                <c:ptCount val="1"/>
                <c:pt idx="0">
                  <c:v>Project Total</c:v>
                </c:pt>
              </c:strCache>
            </c:strRef>
          </c:cat>
          <c:val>
            <c:numRef>
              <c:f>Costs!$I$9</c:f>
              <c:numCache>
                <c:formatCode>_([$$]* #,##0_);_([$$]* \(#,##0\);_([$$]* "-"_);_(@_)</c:formatCode>
                <c:ptCount val="1"/>
                <c:pt idx="0">
                  <c:v>34.097282748094749</c:v>
                </c:pt>
              </c:numCache>
            </c:numRef>
          </c:val>
          <c:extLst>
            <c:ext xmlns:c16="http://schemas.microsoft.com/office/drawing/2014/chart" uri="{C3380CC4-5D6E-409C-BE32-E72D297353CC}">
              <c16:uniqueId val="{00000002-95AF-41F7-A153-1C7AEE0DE974}"/>
            </c:ext>
          </c:extLst>
        </c:ser>
        <c:ser>
          <c:idx val="3"/>
          <c:order val="3"/>
          <c:tx>
            <c:strRef>
              <c:f>Costs!$C$10</c:f>
              <c:strCache>
                <c:ptCount val="1"/>
                <c:pt idx="0">
                  <c:v>End-User Labor &amp; Training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Costs!$I$6</c:f>
              <c:strCache>
                <c:ptCount val="1"/>
                <c:pt idx="0">
                  <c:v>Project Total</c:v>
                </c:pt>
              </c:strCache>
            </c:strRef>
          </c:cat>
          <c:val>
            <c:numRef>
              <c:f>Costs!$I$10</c:f>
              <c:numCache>
                <c:formatCode>_([$$]* #,##0_);_([$$]* \(#,##0\);_([$$]* "-"_);_(@_)</c:formatCode>
                <c:ptCount val="1"/>
                <c:pt idx="0">
                  <c:v>22.080677594931196</c:v>
                </c:pt>
              </c:numCache>
            </c:numRef>
          </c:val>
          <c:extLst>
            <c:ext xmlns:c16="http://schemas.microsoft.com/office/drawing/2014/chart" uri="{C3380CC4-5D6E-409C-BE32-E72D297353CC}">
              <c16:uniqueId val="{00000003-95AF-41F7-A153-1C7AEE0DE974}"/>
            </c:ext>
          </c:extLst>
        </c:ser>
        <c:dLbls>
          <c:showLegendKey val="0"/>
          <c:showVal val="1"/>
          <c:showCatName val="0"/>
          <c:showSerName val="0"/>
          <c:showPercent val="0"/>
          <c:showBubbleSize val="0"/>
        </c:dLbls>
        <c:gapWidth val="150"/>
        <c:overlap val="100"/>
        <c:axId val="136776320"/>
        <c:axId val="136786304"/>
      </c:barChart>
      <c:catAx>
        <c:axId val="136776320"/>
        <c:scaling>
          <c:orientation val="minMax"/>
        </c:scaling>
        <c:delete val="0"/>
        <c:axPos val="b"/>
        <c:numFmt formatCode="General" sourceLinked="0"/>
        <c:majorTickMark val="out"/>
        <c:minorTickMark val="none"/>
        <c:tickLblPos val="nextTo"/>
        <c:txPr>
          <a:bodyPr rot="0" vert="horz"/>
          <a:lstStyle/>
          <a:p>
            <a:pPr>
              <a:defRPr/>
            </a:pPr>
            <a:endParaRPr lang="en-US"/>
          </a:p>
        </c:txPr>
        <c:crossAx val="136786304"/>
        <c:crosses val="autoZero"/>
        <c:auto val="1"/>
        <c:lblAlgn val="ctr"/>
        <c:lblOffset val="100"/>
        <c:tickLblSkip val="1"/>
        <c:tickMarkSkip val="1"/>
        <c:noMultiLvlLbl val="1"/>
      </c:catAx>
      <c:valAx>
        <c:axId val="136786304"/>
        <c:scaling>
          <c:orientation val="minMax"/>
        </c:scaling>
        <c:delete val="0"/>
        <c:axPos val="l"/>
        <c:majorGridlines/>
        <c:title>
          <c:tx>
            <c:strRef>
              <c:f>Costs!$N$16</c:f>
              <c:strCache>
                <c:ptCount val="1"/>
                <c:pt idx="0">
                  <c:v>Costs (per PC)</c:v>
                </c:pt>
              </c:strCache>
            </c:strRef>
          </c:tx>
          <c:layout>
            <c:manualLayout>
              <c:xMode val="edge"/>
              <c:yMode val="edge"/>
              <c:x val="2.5698293737379252E-2"/>
              <c:y val="0.3122003767933918"/>
            </c:manualLayout>
          </c:layout>
          <c:overlay val="0"/>
          <c:txPr>
            <a:bodyPr/>
            <a:lstStyle/>
            <a:p>
              <a:pPr>
                <a:defRPr/>
              </a:pPr>
              <a:endParaRPr lang="en-US"/>
            </a:p>
          </c:txPr>
        </c:title>
        <c:numFmt formatCode="_([$$]* #,##0_);_([$$]* \(#,##0\);_([$$]* &quot;-&quot;_);_(@_)" sourceLinked="1"/>
        <c:majorTickMark val="out"/>
        <c:minorTickMark val="none"/>
        <c:tickLblPos val="nextTo"/>
        <c:txPr>
          <a:bodyPr rot="0" vert="horz"/>
          <a:lstStyle/>
          <a:p>
            <a:pPr>
              <a:defRPr/>
            </a:pPr>
            <a:endParaRPr lang="en-US"/>
          </a:p>
        </c:txPr>
        <c:crossAx val="136776320"/>
        <c:crossesAt val="1"/>
        <c:crossBetween val="between"/>
      </c:valAx>
    </c:plotArea>
    <c:legend>
      <c:legendPos val="r"/>
      <c:layout>
        <c:manualLayout>
          <c:xMode val="edge"/>
          <c:yMode val="edge"/>
          <c:x val="0.61410875753206962"/>
          <c:y val="0.19651933078917486"/>
          <c:w val="0.3576698828139464"/>
          <c:h val="0.66879567164080034"/>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alignWithMargins="0"/>
    <c:pageMargins b="0.75000000000001199" l="0.70000000000000062" r="0.70000000000000062" t="0.75000000000001199" header="0.30000000000000032" footer="0.30000000000000032"/>
    <c:pageSetup paperSize="0" orientation="portrait" horizontalDpi="0" verticalDpi="0" copies="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Costs!$M$15</c:f>
          <c:strCache>
            <c:ptCount val="1"/>
            <c:pt idx="0">
              <c:v>Total Implementation Costs</c:v>
            </c:pt>
          </c:strCache>
        </c:strRef>
      </c:tx>
      <c:layout>
        <c:manualLayout>
          <c:xMode val="edge"/>
          <c:yMode val="edge"/>
          <c:x val="0.18483239595050621"/>
          <c:y val="2.351222721200771E-2"/>
        </c:manualLayout>
      </c:layout>
      <c:overlay val="0"/>
      <c:txPr>
        <a:bodyPr/>
        <a:lstStyle/>
        <a:p>
          <a:pPr>
            <a:defRPr/>
          </a:pPr>
          <a:endParaRPr lang="en-US"/>
        </a:p>
      </c:txPr>
    </c:title>
    <c:autoTitleDeleted val="0"/>
    <c:plotArea>
      <c:layout>
        <c:manualLayout>
          <c:layoutTarget val="inner"/>
          <c:xMode val="edge"/>
          <c:yMode val="edge"/>
          <c:x val="0.31448709536308284"/>
          <c:y val="0.17017634514435695"/>
          <c:w val="0.34363571741032373"/>
          <c:h val="0.68174814085739288"/>
        </c:manualLayout>
      </c:layout>
      <c:barChart>
        <c:barDir val="col"/>
        <c:grouping val="stacked"/>
        <c:varyColors val="0"/>
        <c:ser>
          <c:idx val="0"/>
          <c:order val="0"/>
          <c:tx>
            <c:strRef>
              <c:f>Costs!$C$7</c:f>
              <c:strCache>
                <c:ptCount val="1"/>
                <c:pt idx="0">
                  <c:v>Hardware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Costs!$F$6</c:f>
              <c:strCache>
                <c:ptCount val="1"/>
                <c:pt idx="0">
                  <c:v>Project Total</c:v>
                </c:pt>
              </c:strCache>
            </c:strRef>
          </c:cat>
          <c:val>
            <c:numRef>
              <c:f>Costs!$F$7</c:f>
              <c:numCache>
                <c:formatCode>_([$$]* #,##0_);_([$$]* \(#,##0\);_([$$]* "-"_);_(@_)</c:formatCode>
                <c:ptCount val="1"/>
                <c:pt idx="0">
                  <c:v>72245.063668897361</c:v>
                </c:pt>
              </c:numCache>
            </c:numRef>
          </c:val>
          <c:extLst>
            <c:ext xmlns:c16="http://schemas.microsoft.com/office/drawing/2014/chart" uri="{C3380CC4-5D6E-409C-BE32-E72D297353CC}">
              <c16:uniqueId val="{00000000-132A-4225-BA12-C9F87C3BC984}"/>
            </c:ext>
          </c:extLst>
        </c:ser>
        <c:ser>
          <c:idx val="1"/>
          <c:order val="1"/>
          <c:tx>
            <c:strRef>
              <c:f>Costs!$C$8</c:f>
              <c:strCache>
                <c:ptCount val="1"/>
                <c:pt idx="0">
                  <c:v>Software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Costs!$F$6</c:f>
              <c:strCache>
                <c:ptCount val="1"/>
                <c:pt idx="0">
                  <c:v>Project Total</c:v>
                </c:pt>
              </c:strCache>
            </c:strRef>
          </c:cat>
          <c:val>
            <c:numRef>
              <c:f>Costs!$F$8</c:f>
              <c:numCache>
                <c:formatCode>_([$$]* #,##0_);_([$$]* \(#,##0\);_([$$]* "-"_);_(@_)</c:formatCode>
                <c:ptCount val="1"/>
                <c:pt idx="0">
                  <c:v>183926.75812467374</c:v>
                </c:pt>
              </c:numCache>
            </c:numRef>
          </c:val>
          <c:extLst>
            <c:ext xmlns:c16="http://schemas.microsoft.com/office/drawing/2014/chart" uri="{C3380CC4-5D6E-409C-BE32-E72D297353CC}">
              <c16:uniqueId val="{00000001-132A-4225-BA12-C9F87C3BC984}"/>
            </c:ext>
          </c:extLst>
        </c:ser>
        <c:ser>
          <c:idx val="2"/>
          <c:order val="2"/>
          <c:tx>
            <c:strRef>
              <c:f>Costs!$C$9</c:f>
              <c:strCache>
                <c:ptCount val="1"/>
                <c:pt idx="0">
                  <c:v>IT Labor, Services, &amp; Training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Costs!$F$6</c:f>
              <c:strCache>
                <c:ptCount val="1"/>
                <c:pt idx="0">
                  <c:v>Project Total</c:v>
                </c:pt>
              </c:strCache>
            </c:strRef>
          </c:cat>
          <c:val>
            <c:numRef>
              <c:f>Costs!$F$9</c:f>
              <c:numCache>
                <c:formatCode>_([$$]* #,##0_);_([$$]* \(#,##0\);_([$$]* "-"_);_(@_)</c:formatCode>
                <c:ptCount val="1"/>
                <c:pt idx="0">
                  <c:v>93842.299545619069</c:v>
                </c:pt>
              </c:numCache>
            </c:numRef>
          </c:val>
          <c:extLst>
            <c:ext xmlns:c16="http://schemas.microsoft.com/office/drawing/2014/chart" uri="{C3380CC4-5D6E-409C-BE32-E72D297353CC}">
              <c16:uniqueId val="{00000002-132A-4225-BA12-C9F87C3BC984}"/>
            </c:ext>
          </c:extLst>
        </c:ser>
        <c:ser>
          <c:idx val="3"/>
          <c:order val="3"/>
          <c:tx>
            <c:strRef>
              <c:f>Costs!$C$10</c:f>
              <c:strCache>
                <c:ptCount val="1"/>
                <c:pt idx="0">
                  <c:v>End-User Labor &amp; Training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Costs!$F$6</c:f>
              <c:strCache>
                <c:ptCount val="1"/>
                <c:pt idx="0">
                  <c:v>Project Total</c:v>
                </c:pt>
              </c:strCache>
            </c:strRef>
          </c:cat>
          <c:val>
            <c:numRef>
              <c:f>Costs!$F$10</c:f>
              <c:numCache>
                <c:formatCode>_([$$]* #,##0_);_([$$]* \(#,##0\);_([$$]* "-"_);_(@_)</c:formatCode>
                <c:ptCount val="1"/>
                <c:pt idx="0">
                  <c:v>60770.284140883799</c:v>
                </c:pt>
              </c:numCache>
            </c:numRef>
          </c:val>
          <c:extLst>
            <c:ext xmlns:c16="http://schemas.microsoft.com/office/drawing/2014/chart" uri="{C3380CC4-5D6E-409C-BE32-E72D297353CC}">
              <c16:uniqueId val="{00000003-132A-4225-BA12-C9F87C3BC984}"/>
            </c:ext>
          </c:extLst>
        </c:ser>
        <c:dLbls>
          <c:showLegendKey val="0"/>
          <c:showVal val="1"/>
          <c:showCatName val="0"/>
          <c:showSerName val="0"/>
          <c:showPercent val="0"/>
          <c:showBubbleSize val="0"/>
        </c:dLbls>
        <c:gapWidth val="150"/>
        <c:overlap val="100"/>
        <c:axId val="138613504"/>
        <c:axId val="138615040"/>
      </c:barChart>
      <c:catAx>
        <c:axId val="138613504"/>
        <c:scaling>
          <c:orientation val="minMax"/>
        </c:scaling>
        <c:delete val="0"/>
        <c:axPos val="b"/>
        <c:numFmt formatCode="General" sourceLinked="0"/>
        <c:majorTickMark val="out"/>
        <c:minorTickMark val="none"/>
        <c:tickLblPos val="nextTo"/>
        <c:txPr>
          <a:bodyPr rot="0" vert="horz"/>
          <a:lstStyle/>
          <a:p>
            <a:pPr>
              <a:defRPr/>
            </a:pPr>
            <a:endParaRPr lang="en-US"/>
          </a:p>
        </c:txPr>
        <c:crossAx val="138615040"/>
        <c:crosses val="autoZero"/>
        <c:auto val="1"/>
        <c:lblAlgn val="ctr"/>
        <c:lblOffset val="100"/>
        <c:tickLblSkip val="1"/>
        <c:tickMarkSkip val="1"/>
        <c:noMultiLvlLbl val="1"/>
      </c:catAx>
      <c:valAx>
        <c:axId val="138615040"/>
        <c:scaling>
          <c:orientation val="minMax"/>
        </c:scaling>
        <c:delete val="0"/>
        <c:axPos val="l"/>
        <c:majorGridlines/>
        <c:title>
          <c:tx>
            <c:strRef>
              <c:f>Costs!$M$16</c:f>
              <c:strCache>
                <c:ptCount val="1"/>
                <c:pt idx="0">
                  <c:v>Total Costs</c:v>
                </c:pt>
              </c:strCache>
            </c:strRef>
          </c:tx>
          <c:layout>
            <c:manualLayout>
              <c:xMode val="edge"/>
              <c:yMode val="edge"/>
              <c:x val="2.5698333162900096E-2"/>
              <c:y val="0.3538670166229223"/>
            </c:manualLayout>
          </c:layout>
          <c:overlay val="0"/>
          <c:txPr>
            <a:bodyPr/>
            <a:lstStyle/>
            <a:p>
              <a:pPr>
                <a:defRPr/>
              </a:pPr>
              <a:endParaRPr lang="en-US"/>
            </a:p>
          </c:txPr>
        </c:title>
        <c:numFmt formatCode="_([$$]* #,##0_);_([$$]* \(#,##0\);_([$$]* &quot;-&quot;_);_(@_)" sourceLinked="1"/>
        <c:majorTickMark val="out"/>
        <c:minorTickMark val="none"/>
        <c:tickLblPos val="nextTo"/>
        <c:txPr>
          <a:bodyPr rot="0" vert="horz"/>
          <a:lstStyle/>
          <a:p>
            <a:pPr>
              <a:defRPr/>
            </a:pPr>
            <a:endParaRPr lang="en-US"/>
          </a:p>
        </c:txPr>
        <c:crossAx val="138613504"/>
        <c:crossesAt val="1"/>
        <c:crossBetween val="between"/>
      </c:valAx>
    </c:plotArea>
    <c:legend>
      <c:legendPos val="r"/>
      <c:layout>
        <c:manualLayout>
          <c:xMode val="edge"/>
          <c:yMode val="edge"/>
          <c:x val="0.67760079990001265"/>
          <c:y val="0.19651933078917494"/>
          <c:w val="0.29417772778402906"/>
          <c:h val="0.668795671640801"/>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alignWithMargins="0"/>
    <c:pageMargins b="0.75000000000001221" l="0.70000000000000062" r="0.70000000000000062" t="0.75000000000001221" header="0.30000000000000032" footer="0.30000000000000032"/>
    <c:pageSetup paperSize="0" orientation="portrait" horizontalDpi="0" verticalDpi="0" copies="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strRef>
          <c:f>Costs!$N$57</c:f>
          <c:strCache>
            <c:ptCount val="1"/>
            <c:pt idx="0">
              <c:v>Total Implementation Costs
 (per User)</c:v>
            </c:pt>
          </c:strCache>
        </c:strRef>
      </c:tx>
      <c:layout>
        <c:manualLayout>
          <c:xMode val="edge"/>
          <c:yMode val="edge"/>
          <c:x val="0.15809432133941803"/>
          <c:y val="6.461928831786052E-3"/>
        </c:manualLayout>
      </c:layout>
      <c:overlay val="0"/>
      <c:txPr>
        <a:bodyPr/>
        <a:lstStyle/>
        <a:p>
          <a:pPr>
            <a:defRPr/>
          </a:pPr>
          <a:endParaRPr lang="en-US"/>
        </a:p>
      </c:txPr>
    </c:title>
    <c:autoTitleDeleted val="0"/>
    <c:plotArea>
      <c:layout>
        <c:manualLayout>
          <c:layoutTarget val="inner"/>
          <c:xMode val="edge"/>
          <c:yMode val="edge"/>
          <c:x val="0.23651088684337149"/>
          <c:y val="0.19032590235683455"/>
          <c:w val="0.31675087489064091"/>
          <c:h val="0.70592934195246049"/>
        </c:manualLayout>
      </c:layout>
      <c:barChart>
        <c:barDir val="col"/>
        <c:grouping val="stacked"/>
        <c:varyColors val="0"/>
        <c:ser>
          <c:idx val="0"/>
          <c:order val="0"/>
          <c:tx>
            <c:strRef>
              <c:f>Costs!$C$36</c:f>
              <c:strCache>
                <c:ptCount val="1"/>
                <c:pt idx="0">
                  <c:v>Client Hardware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Costs!$I$34</c:f>
              <c:strCache>
                <c:ptCount val="1"/>
                <c:pt idx="0">
                  <c:v>Project Total</c:v>
                </c:pt>
              </c:strCache>
            </c:strRef>
          </c:cat>
          <c:val>
            <c:numRef>
              <c:f>Costs!$I$36</c:f>
              <c:numCache>
                <c:formatCode>_([$$]* #,##0_);_([$$]* \(#,##0\);_([$$]* "-"_);_(@_)</c:formatCode>
                <c:ptCount val="1"/>
                <c:pt idx="0">
                  <c:v>0</c:v>
                </c:pt>
              </c:numCache>
            </c:numRef>
          </c:val>
          <c:extLst>
            <c:ext xmlns:c16="http://schemas.microsoft.com/office/drawing/2014/chart" uri="{C3380CC4-5D6E-409C-BE32-E72D297353CC}">
              <c16:uniqueId val="{00000000-8AED-4B86-A1AA-F634046FC8B1}"/>
            </c:ext>
          </c:extLst>
        </c:ser>
        <c:ser>
          <c:idx val="1"/>
          <c:order val="1"/>
          <c:tx>
            <c:strRef>
              <c:f>Costs!$C$37</c:f>
              <c:strCache>
                <c:ptCount val="1"/>
                <c:pt idx="0">
                  <c:v>Data Center Hardware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Costs!$I$34</c:f>
              <c:strCache>
                <c:ptCount val="1"/>
                <c:pt idx="0">
                  <c:v>Project Total</c:v>
                </c:pt>
              </c:strCache>
            </c:strRef>
          </c:cat>
          <c:val>
            <c:numRef>
              <c:f>Costs!$I$37</c:f>
              <c:numCache>
                <c:formatCode>_([$$]* #,##0_);_([$$]* \(#,##0\);_([$$]* "-"_);_(@_)</c:formatCode>
                <c:ptCount val="1"/>
                <c:pt idx="0">
                  <c:v>26.249999999999996</c:v>
                </c:pt>
              </c:numCache>
            </c:numRef>
          </c:val>
          <c:extLst>
            <c:ext xmlns:c16="http://schemas.microsoft.com/office/drawing/2014/chart" uri="{C3380CC4-5D6E-409C-BE32-E72D297353CC}">
              <c16:uniqueId val="{00000001-8AED-4B86-A1AA-F634046FC8B1}"/>
            </c:ext>
          </c:extLst>
        </c:ser>
        <c:ser>
          <c:idx val="2"/>
          <c:order val="2"/>
          <c:tx>
            <c:strRef>
              <c:f>Costs!$C$40</c:f>
              <c:strCache>
                <c:ptCount val="1"/>
                <c:pt idx="0">
                  <c:v>Client Software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Costs!$I$34</c:f>
              <c:strCache>
                <c:ptCount val="1"/>
                <c:pt idx="0">
                  <c:v>Project Total</c:v>
                </c:pt>
              </c:strCache>
            </c:strRef>
          </c:cat>
          <c:val>
            <c:numRef>
              <c:f>Costs!$I$40</c:f>
              <c:numCache>
                <c:formatCode>_([$$]* #,##0_);_([$$]* \(#,##0\);_([$$]* "-"_);_(@_)</c:formatCode>
                <c:ptCount val="1"/>
                <c:pt idx="0">
                  <c:v>22.037499999999994</c:v>
                </c:pt>
              </c:numCache>
            </c:numRef>
          </c:val>
          <c:extLst>
            <c:ext xmlns:c16="http://schemas.microsoft.com/office/drawing/2014/chart" uri="{C3380CC4-5D6E-409C-BE32-E72D297353CC}">
              <c16:uniqueId val="{00000002-8AED-4B86-A1AA-F634046FC8B1}"/>
            </c:ext>
          </c:extLst>
        </c:ser>
        <c:ser>
          <c:idx val="3"/>
          <c:order val="3"/>
          <c:tx>
            <c:strRef>
              <c:f>Costs!$C$41</c:f>
              <c:strCache>
                <c:ptCount val="1"/>
                <c:pt idx="0">
                  <c:v>Server Software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Costs!$I$34</c:f>
              <c:strCache>
                <c:ptCount val="1"/>
                <c:pt idx="0">
                  <c:v>Project Total</c:v>
                </c:pt>
              </c:strCache>
            </c:strRef>
          </c:cat>
          <c:val>
            <c:numRef>
              <c:f>Costs!$I$41</c:f>
              <c:numCache>
                <c:formatCode>_([$$]* #,##0_);_([$$]* \(#,##0\);_([$$]* "-"_);_(@_)</c:formatCode>
                <c:ptCount val="1"/>
                <c:pt idx="0">
                  <c:v>44.791666666666657</c:v>
                </c:pt>
              </c:numCache>
            </c:numRef>
          </c:val>
          <c:extLst>
            <c:ext xmlns:c16="http://schemas.microsoft.com/office/drawing/2014/chart" uri="{C3380CC4-5D6E-409C-BE32-E72D297353CC}">
              <c16:uniqueId val="{00000003-8AED-4B86-A1AA-F634046FC8B1}"/>
            </c:ext>
          </c:extLst>
        </c:ser>
        <c:ser>
          <c:idx val="4"/>
          <c:order val="4"/>
          <c:tx>
            <c:strRef>
              <c:f>Costs!$C$44</c:f>
              <c:strCache>
                <c:ptCount val="1"/>
                <c:pt idx="0">
                  <c:v>One-time Implementation Labor/Services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Costs!$I$34</c:f>
              <c:strCache>
                <c:ptCount val="1"/>
                <c:pt idx="0">
                  <c:v>Project Total</c:v>
                </c:pt>
              </c:strCache>
            </c:strRef>
          </c:cat>
          <c:val>
            <c:numRef>
              <c:f>Costs!$I$44</c:f>
              <c:numCache>
                <c:formatCode>_([$$]* #,##0_);_([$$]* \(#,##0\);_([$$]* "-"_);_(@_)</c:formatCode>
                <c:ptCount val="1"/>
                <c:pt idx="0">
                  <c:v>17.981561318861409</c:v>
                </c:pt>
              </c:numCache>
            </c:numRef>
          </c:val>
          <c:extLst>
            <c:ext xmlns:c16="http://schemas.microsoft.com/office/drawing/2014/chart" uri="{C3380CC4-5D6E-409C-BE32-E72D297353CC}">
              <c16:uniqueId val="{00000004-8AED-4B86-A1AA-F634046FC8B1}"/>
            </c:ext>
          </c:extLst>
        </c:ser>
        <c:ser>
          <c:idx val="5"/>
          <c:order val="5"/>
          <c:tx>
            <c:strRef>
              <c:f>Costs!$C$45</c:f>
              <c:strCache>
                <c:ptCount val="1"/>
                <c:pt idx="0">
                  <c:v>Annual On-Going Labor/Services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Costs!$I$34</c:f>
              <c:strCache>
                <c:ptCount val="1"/>
                <c:pt idx="0">
                  <c:v>Project Total</c:v>
                </c:pt>
              </c:strCache>
            </c:strRef>
          </c:cat>
          <c:val>
            <c:numRef>
              <c:f>Costs!$I$45</c:f>
              <c:numCache>
                <c:formatCode>_([$$]* #,##0_);_([$$]* \(#,##0\);_([$$]* "-"_);_(@_)</c:formatCode>
                <c:ptCount val="1"/>
                <c:pt idx="0">
                  <c:v>0.42970642857573205</c:v>
                </c:pt>
              </c:numCache>
            </c:numRef>
          </c:val>
          <c:extLst>
            <c:ext xmlns:c16="http://schemas.microsoft.com/office/drawing/2014/chart" uri="{C3380CC4-5D6E-409C-BE32-E72D297353CC}">
              <c16:uniqueId val="{00000005-8AED-4B86-A1AA-F634046FC8B1}"/>
            </c:ext>
          </c:extLst>
        </c:ser>
        <c:ser>
          <c:idx val="6"/>
          <c:order val="6"/>
          <c:tx>
            <c:strRef>
              <c:f>Costs!$C$46</c:f>
              <c:strCache>
                <c:ptCount val="1"/>
                <c:pt idx="0">
                  <c:v>Incremental Help Desk Calls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Costs!$I$34</c:f>
              <c:strCache>
                <c:ptCount val="1"/>
                <c:pt idx="0">
                  <c:v>Project Total</c:v>
                </c:pt>
              </c:strCache>
            </c:strRef>
          </c:cat>
          <c:val>
            <c:numRef>
              <c:f>Costs!$I$46</c:f>
              <c:numCache>
                <c:formatCode>_([$$]* #,##0_);_([$$]* \(#,##0\);_([$$]* "-"_);_(@_)</c:formatCode>
                <c:ptCount val="1"/>
                <c:pt idx="0">
                  <c:v>0.98160276995552853</c:v>
                </c:pt>
              </c:numCache>
            </c:numRef>
          </c:val>
          <c:extLst>
            <c:ext xmlns:c16="http://schemas.microsoft.com/office/drawing/2014/chart" uri="{C3380CC4-5D6E-409C-BE32-E72D297353CC}">
              <c16:uniqueId val="{00000006-8AED-4B86-A1AA-F634046FC8B1}"/>
            </c:ext>
          </c:extLst>
        </c:ser>
        <c:ser>
          <c:idx val="7"/>
          <c:order val="7"/>
          <c:tx>
            <c:strRef>
              <c:f>Costs!$C$47</c:f>
              <c:strCache>
                <c:ptCount val="1"/>
                <c:pt idx="0">
                  <c:v>IT Training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Costs!$I$34</c:f>
              <c:strCache>
                <c:ptCount val="1"/>
                <c:pt idx="0">
                  <c:v>Project Total</c:v>
                </c:pt>
              </c:strCache>
            </c:strRef>
          </c:cat>
          <c:val>
            <c:numRef>
              <c:f>Costs!$I$47</c:f>
              <c:numCache>
                <c:formatCode>_([$$]* #,##0_);_([$$]* \(#,##0\);_([$$]* "-"_);_(@_)</c:formatCode>
                <c:ptCount val="1"/>
                <c:pt idx="0">
                  <c:v>14.704412230702076</c:v>
                </c:pt>
              </c:numCache>
            </c:numRef>
          </c:val>
          <c:extLst>
            <c:ext xmlns:c16="http://schemas.microsoft.com/office/drawing/2014/chart" uri="{C3380CC4-5D6E-409C-BE32-E72D297353CC}">
              <c16:uniqueId val="{00000007-8AED-4B86-A1AA-F634046FC8B1}"/>
            </c:ext>
          </c:extLst>
        </c:ser>
        <c:ser>
          <c:idx val="8"/>
          <c:order val="8"/>
          <c:tx>
            <c:strRef>
              <c:f>Costs!$C$50</c:f>
              <c:strCache>
                <c:ptCount val="1"/>
                <c:pt idx="0">
                  <c:v>End-User Labor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Costs!$I$34</c:f>
              <c:strCache>
                <c:ptCount val="1"/>
                <c:pt idx="0">
                  <c:v>Project Total</c:v>
                </c:pt>
              </c:strCache>
            </c:strRef>
          </c:cat>
          <c:val>
            <c:numRef>
              <c:f>Costs!$I$50</c:f>
              <c:numCache>
                <c:formatCode>_([$$]* #,##0_);_([$$]* \(#,##0\);_([$$]* "-"_);_(@_)</c:formatCode>
                <c:ptCount val="1"/>
                <c:pt idx="0">
                  <c:v>11.270364858809105</c:v>
                </c:pt>
              </c:numCache>
            </c:numRef>
          </c:val>
          <c:extLst>
            <c:ext xmlns:c16="http://schemas.microsoft.com/office/drawing/2014/chart" uri="{C3380CC4-5D6E-409C-BE32-E72D297353CC}">
              <c16:uniqueId val="{00000008-8AED-4B86-A1AA-F634046FC8B1}"/>
            </c:ext>
          </c:extLst>
        </c:ser>
        <c:ser>
          <c:idx val="9"/>
          <c:order val="9"/>
          <c:tx>
            <c:strRef>
              <c:f>Costs!$C$51</c:f>
              <c:strCache>
                <c:ptCount val="1"/>
                <c:pt idx="0">
                  <c:v>End-User Training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Costs!$I$34</c:f>
              <c:strCache>
                <c:ptCount val="1"/>
                <c:pt idx="0">
                  <c:v>Project Total</c:v>
                </c:pt>
              </c:strCache>
            </c:strRef>
          </c:cat>
          <c:val>
            <c:numRef>
              <c:f>Costs!$I$51</c:f>
              <c:numCache>
                <c:formatCode>_([$$]* #,##0_);_([$$]* \(#,##0\);_([$$]* "-"_);_(@_)</c:formatCode>
                <c:ptCount val="1"/>
                <c:pt idx="0">
                  <c:v>10.810312736122091</c:v>
                </c:pt>
              </c:numCache>
            </c:numRef>
          </c:val>
          <c:extLst>
            <c:ext xmlns:c16="http://schemas.microsoft.com/office/drawing/2014/chart" uri="{C3380CC4-5D6E-409C-BE32-E72D297353CC}">
              <c16:uniqueId val="{00000009-8AED-4B86-A1AA-F634046FC8B1}"/>
            </c:ext>
          </c:extLst>
        </c:ser>
        <c:dLbls>
          <c:showLegendKey val="0"/>
          <c:showVal val="1"/>
          <c:showCatName val="0"/>
          <c:showSerName val="0"/>
          <c:showPercent val="0"/>
          <c:showBubbleSize val="0"/>
        </c:dLbls>
        <c:gapWidth val="150"/>
        <c:overlap val="100"/>
        <c:axId val="138860416"/>
        <c:axId val="138861952"/>
      </c:barChart>
      <c:catAx>
        <c:axId val="138860416"/>
        <c:scaling>
          <c:orientation val="minMax"/>
        </c:scaling>
        <c:delete val="0"/>
        <c:axPos val="b"/>
        <c:numFmt formatCode="General" sourceLinked="0"/>
        <c:majorTickMark val="out"/>
        <c:minorTickMark val="none"/>
        <c:tickLblPos val="nextTo"/>
        <c:txPr>
          <a:bodyPr rot="0" vert="horz"/>
          <a:lstStyle/>
          <a:p>
            <a:pPr>
              <a:defRPr/>
            </a:pPr>
            <a:endParaRPr lang="en-US"/>
          </a:p>
        </c:txPr>
        <c:crossAx val="138861952"/>
        <c:crosses val="autoZero"/>
        <c:auto val="1"/>
        <c:lblAlgn val="ctr"/>
        <c:lblOffset val="100"/>
        <c:tickLblSkip val="1"/>
        <c:tickMarkSkip val="1"/>
        <c:noMultiLvlLbl val="1"/>
      </c:catAx>
      <c:valAx>
        <c:axId val="138861952"/>
        <c:scaling>
          <c:orientation val="minMax"/>
        </c:scaling>
        <c:delete val="0"/>
        <c:axPos val="l"/>
        <c:majorGridlines/>
        <c:title>
          <c:tx>
            <c:strRef>
              <c:f>Costs!$N$58</c:f>
              <c:strCache>
                <c:ptCount val="1"/>
                <c:pt idx="0">
                  <c:v>Costs (per PC)</c:v>
                </c:pt>
              </c:strCache>
            </c:strRef>
          </c:tx>
          <c:layout>
            <c:manualLayout>
              <c:xMode val="edge"/>
              <c:yMode val="edge"/>
              <c:x val="2.5698293737379252E-2"/>
              <c:y val="0.3122003767933918"/>
            </c:manualLayout>
          </c:layout>
          <c:overlay val="0"/>
          <c:txPr>
            <a:bodyPr/>
            <a:lstStyle/>
            <a:p>
              <a:pPr>
                <a:defRPr/>
              </a:pPr>
              <a:endParaRPr lang="en-US"/>
            </a:p>
          </c:txPr>
        </c:title>
        <c:numFmt formatCode="_([$$]* #,##0_);_([$$]* \(#,##0\);_([$$]* &quot;-&quot;_);_(@_)" sourceLinked="1"/>
        <c:majorTickMark val="out"/>
        <c:minorTickMark val="none"/>
        <c:tickLblPos val="nextTo"/>
        <c:txPr>
          <a:bodyPr rot="0" vert="horz"/>
          <a:lstStyle/>
          <a:p>
            <a:pPr>
              <a:defRPr/>
            </a:pPr>
            <a:endParaRPr lang="en-US"/>
          </a:p>
        </c:txPr>
        <c:crossAx val="138860416"/>
        <c:crossesAt val="1"/>
        <c:crossBetween val="between"/>
      </c:valAx>
    </c:plotArea>
    <c:legend>
      <c:legendPos val="r"/>
      <c:layout>
        <c:manualLayout>
          <c:xMode val="edge"/>
          <c:yMode val="edge"/>
          <c:x val="0.5585531496062961"/>
          <c:y val="0.19651933078917494"/>
          <c:w val="0.4414468503937008"/>
          <c:h val="0.77150452101415712"/>
        </c:manualLayout>
      </c:layout>
      <c:overlay val="0"/>
    </c:legend>
    <c:plotVisOnly val="1"/>
    <c:dispBlanksAs val="gap"/>
    <c:showDLblsOverMax val="0"/>
  </c:chart>
  <c:spPr>
    <a:solidFill>
      <a:srgbClr val="EFF3FB"/>
    </a:solidFill>
    <a:ln w="9525" cap="flat" cmpd="sng" algn="ctr">
      <a:no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alignWithMargins="0"/>
    <c:pageMargins b="0.75000000000001221" l="0.70000000000000062" r="0.70000000000000062" t="0.75000000000001221" header="0.30000000000000032" footer="0.30000000000000032"/>
    <c:pageSetup paperSize="0" orientation="portrait" horizontalDpi="0" verticalDpi="0" copies="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8" Type="http://schemas.openxmlformats.org/officeDocument/2006/relationships/chart" Target="../charts/chart35.xml"/><Relationship Id="rId13" Type="http://schemas.openxmlformats.org/officeDocument/2006/relationships/chart" Target="../charts/chart40.xml"/><Relationship Id="rId3" Type="http://schemas.openxmlformats.org/officeDocument/2006/relationships/chart" Target="../charts/chart30.xml"/><Relationship Id="rId7" Type="http://schemas.openxmlformats.org/officeDocument/2006/relationships/chart" Target="../charts/chart34.xml"/><Relationship Id="rId12" Type="http://schemas.openxmlformats.org/officeDocument/2006/relationships/chart" Target="../charts/chart39.xml"/><Relationship Id="rId2" Type="http://schemas.openxmlformats.org/officeDocument/2006/relationships/chart" Target="../charts/chart29.xml"/><Relationship Id="rId1" Type="http://schemas.openxmlformats.org/officeDocument/2006/relationships/chart" Target="../charts/chart28.xml"/><Relationship Id="rId6" Type="http://schemas.openxmlformats.org/officeDocument/2006/relationships/chart" Target="../charts/chart33.xml"/><Relationship Id="rId11" Type="http://schemas.openxmlformats.org/officeDocument/2006/relationships/chart" Target="../charts/chart38.xml"/><Relationship Id="rId5" Type="http://schemas.openxmlformats.org/officeDocument/2006/relationships/chart" Target="../charts/chart32.xml"/><Relationship Id="rId10" Type="http://schemas.openxmlformats.org/officeDocument/2006/relationships/chart" Target="../charts/chart37.xml"/><Relationship Id="rId4" Type="http://schemas.openxmlformats.org/officeDocument/2006/relationships/chart" Target="../charts/chart31.xml"/><Relationship Id="rId9"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jpeg"/><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7.xml.rels><?xml version="1.0" encoding="UTF-8" standalone="yes"?>
<Relationships xmlns="http://schemas.openxmlformats.org/package/2006/relationships"><Relationship Id="rId8" Type="http://schemas.openxmlformats.org/officeDocument/2006/relationships/chart" Target="../charts/chart23.xml"/><Relationship Id="rId3" Type="http://schemas.openxmlformats.org/officeDocument/2006/relationships/chart" Target="../charts/chart18.xml"/><Relationship Id="rId7" Type="http://schemas.openxmlformats.org/officeDocument/2006/relationships/chart" Target="../charts/chart22.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 Id="rId9"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25</xdr:row>
      <xdr:rowOff>190500</xdr:rowOff>
    </xdr:from>
    <xdr:to>
      <xdr:col>6</xdr:col>
      <xdr:colOff>1715736</xdr:colOff>
      <xdr:row>37</xdr:row>
      <xdr:rowOff>646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61925" y="12734925"/>
          <a:ext cx="8849961" cy="4629796"/>
        </a:xfrm>
        <a:prstGeom prst="rect">
          <a:avLst/>
        </a:prstGeom>
      </xdr:spPr>
    </xdr:pic>
    <xdr:clientData/>
  </xdr:twoCellAnchor>
  <xdr:twoCellAnchor editAs="oneCell">
    <xdr:from>
      <xdr:col>0</xdr:col>
      <xdr:colOff>19051</xdr:colOff>
      <xdr:row>0</xdr:row>
      <xdr:rowOff>19050</xdr:rowOff>
    </xdr:from>
    <xdr:to>
      <xdr:col>7</xdr:col>
      <xdr:colOff>295276</xdr:colOff>
      <xdr:row>0</xdr:row>
      <xdr:rowOff>461724</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19051" y="19050"/>
          <a:ext cx="10896600" cy="442674"/>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0.00557</cdr:x>
      <cdr:y>0.09309</cdr:y>
    </cdr:from>
    <cdr:to>
      <cdr:x>0.15399</cdr:x>
      <cdr:y>0.23724</cdr:y>
    </cdr:to>
    <cdr:sp macro="" textlink="KPIs!$N$50">
      <cdr:nvSpPr>
        <cdr:cNvPr id="2" name="TextBox 1"/>
        <cdr:cNvSpPr txBox="1"/>
      </cdr:nvSpPr>
      <cdr:spPr>
        <a:xfrm xmlns:a="http://schemas.openxmlformats.org/drawingml/2006/main">
          <a:off x="28575" y="295275"/>
          <a:ext cx="762000" cy="4572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fld id="{7D1AFD18-26EC-47D5-B42F-3E7DB0C479D7}" type="TxLink">
            <a:rPr lang="en-US" altLang="ja-JP" sz="1100" b="1"/>
            <a:pPr/>
            <a:t>World Class</a:t>
          </a:fld>
          <a:endParaRPr lang="en-US" sz="1100" b="1"/>
        </a:p>
      </cdr:txBody>
    </cdr:sp>
  </cdr:relSizeAnchor>
  <cdr:relSizeAnchor xmlns:cdr="http://schemas.openxmlformats.org/drawingml/2006/chartDrawing">
    <cdr:from>
      <cdr:x>0.00742</cdr:x>
      <cdr:y>0.74775</cdr:y>
    </cdr:from>
    <cdr:to>
      <cdr:x>0.15584</cdr:x>
      <cdr:y>0.89189</cdr:y>
    </cdr:to>
    <cdr:sp macro="" textlink="KPIs!$N$51">
      <cdr:nvSpPr>
        <cdr:cNvPr id="3" name="TextBox 2"/>
        <cdr:cNvSpPr txBox="1"/>
      </cdr:nvSpPr>
      <cdr:spPr>
        <a:xfrm xmlns:a="http://schemas.openxmlformats.org/drawingml/2006/main">
          <a:off x="38100" y="2371725"/>
          <a:ext cx="762000" cy="4572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fld id="{DECE84F5-BE1D-43D9-A6F6-6201848AAA2A}" type="TxLink">
            <a:rPr lang="en-US" altLang="ja-JP" sz="1100" b="1"/>
            <a:pPr/>
            <a:t>Low</a:t>
          </a:fld>
          <a:endParaRPr lang="en-US" sz="1100" b="1"/>
        </a:p>
      </cdr:txBody>
    </cdr:sp>
  </cdr:relSizeAnchor>
</c:userShapes>
</file>

<file path=xl/drawings/drawing11.xml><?xml version="1.0" encoding="utf-8"?>
<xdr:wsDr xmlns:xdr="http://schemas.openxmlformats.org/drawingml/2006/spreadsheetDrawing" xmlns:a="http://schemas.openxmlformats.org/drawingml/2006/main">
  <xdr:twoCellAnchor>
    <xdr:from>
      <xdr:col>7</xdr:col>
      <xdr:colOff>190499</xdr:colOff>
      <xdr:row>4</xdr:row>
      <xdr:rowOff>390525</xdr:rowOff>
    </xdr:from>
    <xdr:to>
      <xdr:col>11</xdr:col>
      <xdr:colOff>628649</xdr:colOff>
      <xdr:row>16</xdr:row>
      <xdr:rowOff>85725</xdr:rowOff>
    </xdr:to>
    <xdr:graphicFrame macro="">
      <xdr:nvGraphicFramePr>
        <xdr:cNvPr id="2" name="rpt_ROISum">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109</xdr:row>
      <xdr:rowOff>38100</xdr:rowOff>
    </xdr:from>
    <xdr:to>
      <xdr:col>5</xdr:col>
      <xdr:colOff>704850</xdr:colOff>
      <xdr:row>130</xdr:row>
      <xdr:rowOff>114300</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173</xdr:row>
      <xdr:rowOff>95250</xdr:rowOff>
    </xdr:from>
    <xdr:to>
      <xdr:col>5</xdr:col>
      <xdr:colOff>504825</xdr:colOff>
      <xdr:row>196</xdr:row>
      <xdr:rowOff>28575</xdr:rowOff>
    </xdr:to>
    <xdr:graphicFrame macro="">
      <xdr:nvGraphicFramePr>
        <xdr:cNvPr id="13" name="rpt_ROICostDetails">
          <a:extLst>
            <a:ext uri="{FF2B5EF4-FFF2-40B4-BE49-F238E27FC236}">
              <a16:creationId xmlns:a16="http://schemas.microsoft.com/office/drawing/2014/main" id="{00000000-0008-0000-09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142874</xdr:colOff>
      <xdr:row>22</xdr:row>
      <xdr:rowOff>66675</xdr:rowOff>
    </xdr:from>
    <xdr:to>
      <xdr:col>4</xdr:col>
      <xdr:colOff>742949</xdr:colOff>
      <xdr:row>41</xdr:row>
      <xdr:rowOff>123825</xdr:rowOff>
    </xdr:to>
    <xdr:graphicFrame macro="">
      <xdr:nvGraphicFramePr>
        <xdr:cNvPr id="17" name="Chart 16">
          <a:extLst>
            <a:ext uri="{FF2B5EF4-FFF2-40B4-BE49-F238E27FC236}">
              <a16:creationId xmlns:a16="http://schemas.microsoft.com/office/drawing/2014/main" id="{00000000-0008-0000-09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57150</xdr:colOff>
      <xdr:row>22</xdr:row>
      <xdr:rowOff>76200</xdr:rowOff>
    </xdr:from>
    <xdr:to>
      <xdr:col>9</xdr:col>
      <xdr:colOff>390525</xdr:colOff>
      <xdr:row>41</xdr:row>
      <xdr:rowOff>123825</xdr:rowOff>
    </xdr:to>
    <xdr:graphicFrame macro="">
      <xdr:nvGraphicFramePr>
        <xdr:cNvPr id="18" name="rpt_ROIBenSum">
          <a:extLst>
            <a:ext uri="{FF2B5EF4-FFF2-40B4-BE49-F238E27FC236}">
              <a16:creationId xmlns:a16="http://schemas.microsoft.com/office/drawing/2014/main" id="{00000000-0008-0000-09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267</xdr:row>
      <xdr:rowOff>104775</xdr:rowOff>
    </xdr:from>
    <xdr:to>
      <xdr:col>5</xdr:col>
      <xdr:colOff>638175</xdr:colOff>
      <xdr:row>292</xdr:row>
      <xdr:rowOff>0</xdr:rowOff>
    </xdr:to>
    <xdr:graphicFrame macro="">
      <xdr:nvGraphicFramePr>
        <xdr:cNvPr id="21" name="Chart 20">
          <a:extLst>
            <a:ext uri="{FF2B5EF4-FFF2-40B4-BE49-F238E27FC236}">
              <a16:creationId xmlns:a16="http://schemas.microsoft.com/office/drawing/2014/main" id="{00000000-0008-0000-09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320</xdr:row>
      <xdr:rowOff>0</xdr:rowOff>
    </xdr:from>
    <xdr:to>
      <xdr:col>6</xdr:col>
      <xdr:colOff>485775</xdr:colOff>
      <xdr:row>340</xdr:row>
      <xdr:rowOff>85725</xdr:rowOff>
    </xdr:to>
    <xdr:graphicFrame macro="">
      <xdr:nvGraphicFramePr>
        <xdr:cNvPr id="22" name="Chart 21">
          <a:extLst>
            <a:ext uri="{FF2B5EF4-FFF2-40B4-BE49-F238E27FC236}">
              <a16:creationId xmlns:a16="http://schemas.microsoft.com/office/drawing/2014/main" id="{00000000-0008-0000-09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0</xdr:colOff>
      <xdr:row>353</xdr:row>
      <xdr:rowOff>114300</xdr:rowOff>
    </xdr:from>
    <xdr:to>
      <xdr:col>7</xdr:col>
      <xdr:colOff>28575</xdr:colOff>
      <xdr:row>375</xdr:row>
      <xdr:rowOff>9525</xdr:rowOff>
    </xdr:to>
    <xdr:graphicFrame macro="">
      <xdr:nvGraphicFramePr>
        <xdr:cNvPr id="24" name="Chart 23">
          <a:extLst>
            <a:ext uri="{FF2B5EF4-FFF2-40B4-BE49-F238E27FC236}">
              <a16:creationId xmlns:a16="http://schemas.microsoft.com/office/drawing/2014/main" id="{00000000-0008-0000-09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130968</xdr:colOff>
      <xdr:row>386</xdr:row>
      <xdr:rowOff>107156</xdr:rowOff>
    </xdr:from>
    <xdr:to>
      <xdr:col>7</xdr:col>
      <xdr:colOff>600075</xdr:colOff>
      <xdr:row>406</xdr:row>
      <xdr:rowOff>40481</xdr:rowOff>
    </xdr:to>
    <xdr:graphicFrame macro="">
      <xdr:nvGraphicFramePr>
        <xdr:cNvPr id="25" name="rpt_KPISumChart">
          <a:extLst>
            <a:ext uri="{FF2B5EF4-FFF2-40B4-BE49-F238E27FC236}">
              <a16:creationId xmlns:a16="http://schemas.microsoft.com/office/drawing/2014/main" id="{00000000-0008-0000-09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200</xdr:row>
      <xdr:rowOff>0</xdr:rowOff>
    </xdr:from>
    <xdr:to>
      <xdr:col>5</xdr:col>
      <xdr:colOff>647700</xdr:colOff>
      <xdr:row>219</xdr:row>
      <xdr:rowOff>76200</xdr:rowOff>
    </xdr:to>
    <xdr:graphicFrame macro="">
      <xdr:nvGraphicFramePr>
        <xdr:cNvPr id="30" name="Chart 29">
          <a:extLst>
            <a:ext uri="{FF2B5EF4-FFF2-40B4-BE49-F238E27FC236}">
              <a16:creationId xmlns:a16="http://schemas.microsoft.com/office/drawing/2014/main" id="{00000000-0008-0000-09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714375</xdr:colOff>
      <xdr:row>200</xdr:row>
      <xdr:rowOff>0</xdr:rowOff>
    </xdr:from>
    <xdr:to>
      <xdr:col>12</xdr:col>
      <xdr:colOff>0</xdr:colOff>
      <xdr:row>219</xdr:row>
      <xdr:rowOff>76200</xdr:rowOff>
    </xdr:to>
    <xdr:graphicFrame macro="">
      <xdr:nvGraphicFramePr>
        <xdr:cNvPr id="31" name="Chart 30">
          <a:extLst>
            <a:ext uri="{FF2B5EF4-FFF2-40B4-BE49-F238E27FC236}">
              <a16:creationId xmlns:a16="http://schemas.microsoft.com/office/drawing/2014/main" id="{00000000-0008-0000-09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0</xdr:colOff>
      <xdr:row>320</xdr:row>
      <xdr:rowOff>0</xdr:rowOff>
    </xdr:from>
    <xdr:to>
      <xdr:col>11</xdr:col>
      <xdr:colOff>28575</xdr:colOff>
      <xdr:row>340</xdr:row>
      <xdr:rowOff>85725</xdr:rowOff>
    </xdr:to>
    <xdr:graphicFrame macro="">
      <xdr:nvGraphicFramePr>
        <xdr:cNvPr id="19" name="Chart 18">
          <a:extLst>
            <a:ext uri="{FF2B5EF4-FFF2-40B4-BE49-F238E27FC236}">
              <a16:creationId xmlns:a16="http://schemas.microsoft.com/office/drawing/2014/main" id="{00000000-0008-0000-09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57150</xdr:colOff>
      <xdr:row>109</xdr:row>
      <xdr:rowOff>47625</xdr:rowOff>
    </xdr:from>
    <xdr:to>
      <xdr:col>12</xdr:col>
      <xdr:colOff>38100</xdr:colOff>
      <xdr:row>130</xdr:row>
      <xdr:rowOff>114299</xdr:rowOff>
    </xdr:to>
    <xdr:graphicFrame macro="">
      <xdr:nvGraphicFramePr>
        <xdr:cNvPr id="16" name="rpt_CumCashFlowCh">
          <a:extLst>
            <a:ext uri="{FF2B5EF4-FFF2-40B4-BE49-F238E27FC236}">
              <a16:creationId xmlns:a16="http://schemas.microsoft.com/office/drawing/2014/main" id="{04EB1FC4-F83C-4AC4-B3ED-88975AC050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0.00557</cdr:x>
      <cdr:y>0.09309</cdr:y>
    </cdr:from>
    <cdr:to>
      <cdr:x>0.15399</cdr:x>
      <cdr:y>0.23724</cdr:y>
    </cdr:to>
    <cdr:sp macro="" textlink="">
      <cdr:nvSpPr>
        <cdr:cNvPr id="2" name="TextBox 1"/>
        <cdr:cNvSpPr txBox="1"/>
      </cdr:nvSpPr>
      <cdr:spPr>
        <a:xfrm xmlns:a="http://schemas.openxmlformats.org/drawingml/2006/main">
          <a:off x="28575" y="295275"/>
          <a:ext cx="762000" cy="4572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100" b="1"/>
            <a:t>World</a:t>
          </a:r>
          <a:r>
            <a:rPr lang="en-US" sz="1100" b="1" baseline="0"/>
            <a:t> Class</a:t>
          </a:r>
          <a:endParaRPr lang="en-US" sz="1100" b="1"/>
        </a:p>
      </cdr:txBody>
    </cdr:sp>
  </cdr:relSizeAnchor>
  <cdr:relSizeAnchor xmlns:cdr="http://schemas.openxmlformats.org/drawingml/2006/chartDrawing">
    <cdr:from>
      <cdr:x>0.00742</cdr:x>
      <cdr:y>0.74775</cdr:y>
    </cdr:from>
    <cdr:to>
      <cdr:x>0.15584</cdr:x>
      <cdr:y>0.89189</cdr:y>
    </cdr:to>
    <cdr:sp macro="" textlink="">
      <cdr:nvSpPr>
        <cdr:cNvPr id="3" name="TextBox 2"/>
        <cdr:cNvSpPr txBox="1"/>
      </cdr:nvSpPr>
      <cdr:spPr>
        <a:xfrm xmlns:a="http://schemas.openxmlformats.org/drawingml/2006/main">
          <a:off x="38100" y="2371725"/>
          <a:ext cx="762000" cy="4572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100" b="1"/>
            <a:t>Laggard</a:t>
          </a:r>
        </a:p>
      </cdr:txBody>
    </cdr:sp>
  </cdr:relSizeAnchor>
</c:userShapes>
</file>

<file path=xl/drawings/drawing2.xml><?xml version="1.0" encoding="utf-8"?>
<xdr:wsDr xmlns:xdr="http://schemas.openxmlformats.org/drawingml/2006/spreadsheetDrawing" xmlns:a="http://schemas.openxmlformats.org/drawingml/2006/main">
  <xdr:twoCellAnchor>
    <xdr:from>
      <xdr:col>10</xdr:col>
      <xdr:colOff>38102</xdr:colOff>
      <xdr:row>37</xdr:row>
      <xdr:rowOff>247650</xdr:rowOff>
    </xdr:from>
    <xdr:to>
      <xdr:col>15</xdr:col>
      <xdr:colOff>428626</xdr:colOff>
      <xdr:row>48</xdr:row>
      <xdr:rowOff>76200</xdr:rowOff>
    </xdr:to>
    <xdr:graphicFrame macro="">
      <xdr:nvGraphicFramePr>
        <xdr:cNvPr id="12" name="Chart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76201</xdr:colOff>
      <xdr:row>4</xdr:row>
      <xdr:rowOff>28575</xdr:rowOff>
    </xdr:from>
    <xdr:to>
      <xdr:col>15</xdr:col>
      <xdr:colOff>571500</xdr:colOff>
      <xdr:row>10</xdr:row>
      <xdr:rowOff>9525</xdr:rowOff>
    </xdr:to>
    <xdr:graphicFrame macro="">
      <xdr:nvGraphicFramePr>
        <xdr:cNvPr id="10" name="Chart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71</xdr:row>
      <xdr:rowOff>19050</xdr:rowOff>
    </xdr:from>
    <xdr:to>
      <xdr:col>15</xdr:col>
      <xdr:colOff>590550</xdr:colOff>
      <xdr:row>80</xdr:row>
      <xdr:rowOff>190500</xdr:rowOff>
    </xdr:to>
    <xdr:graphicFrame macro="">
      <xdr:nvGraphicFramePr>
        <xdr:cNvPr id="11" name="Chart 10">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76200</xdr:colOff>
      <xdr:row>58</xdr:row>
      <xdr:rowOff>266700</xdr:rowOff>
    </xdr:from>
    <xdr:to>
      <xdr:col>15</xdr:col>
      <xdr:colOff>180975</xdr:colOff>
      <xdr:row>70</xdr:row>
      <xdr:rowOff>247650</xdr:rowOff>
    </xdr:to>
    <xdr:graphicFrame macro="">
      <xdr:nvGraphicFramePr>
        <xdr:cNvPr id="13" name="Chart 12">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48</xdr:row>
      <xdr:rowOff>123826</xdr:rowOff>
    </xdr:from>
    <xdr:to>
      <xdr:col>15</xdr:col>
      <xdr:colOff>190500</xdr:colOff>
      <xdr:row>58</xdr:row>
      <xdr:rowOff>209551</xdr:rowOff>
    </xdr:to>
    <xdr:graphicFrame macro="">
      <xdr:nvGraphicFramePr>
        <xdr:cNvPr id="14" name="Chart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18</xdr:col>
      <xdr:colOff>0</xdr:colOff>
      <xdr:row>0</xdr:row>
      <xdr:rowOff>442674</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stretch>
          <a:fillRect/>
        </a:stretch>
      </xdr:blipFill>
      <xdr:spPr>
        <a:xfrm>
          <a:off x="0" y="0"/>
          <a:ext cx="10896600" cy="442674"/>
        </a:xfrm>
        <a:prstGeom prst="rect">
          <a:avLst/>
        </a:prstGeom>
      </xdr:spPr>
    </xdr:pic>
    <xdr:clientData/>
  </xdr:twoCellAnchor>
  <xdr:twoCellAnchor>
    <xdr:from>
      <xdr:col>10</xdr:col>
      <xdr:colOff>47625</xdr:colOff>
      <xdr:row>26</xdr:row>
      <xdr:rowOff>209550</xdr:rowOff>
    </xdr:from>
    <xdr:to>
      <xdr:col>15</xdr:col>
      <xdr:colOff>438150</xdr:colOff>
      <xdr:row>37</xdr:row>
      <xdr:rowOff>171450</xdr:rowOff>
    </xdr:to>
    <xdr:graphicFrame macro="">
      <xdr:nvGraphicFramePr>
        <xdr:cNvPr id="9" name="rpt_CumCashFlowCh">
          <a:extLst>
            <a:ext uri="{FF2B5EF4-FFF2-40B4-BE49-F238E27FC236}">
              <a16:creationId xmlns:a16="http://schemas.microsoft.com/office/drawing/2014/main" id="{F2D184A2-F292-4469-A697-71C6221A49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0.00557</cdr:x>
      <cdr:y>0.08341</cdr:y>
    </cdr:from>
    <cdr:to>
      <cdr:x>0.15399</cdr:x>
      <cdr:y>0.22756</cdr:y>
    </cdr:to>
    <cdr:sp macro="" textlink="KPIs!$N$50">
      <cdr:nvSpPr>
        <cdr:cNvPr id="2" name="TextBox 1"/>
        <cdr:cNvSpPr txBox="1"/>
      </cdr:nvSpPr>
      <cdr:spPr>
        <a:xfrm xmlns:a="http://schemas.openxmlformats.org/drawingml/2006/main">
          <a:off x="22336" y="246296"/>
          <a:ext cx="595168" cy="425639"/>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fld id="{7D1AFD18-26EC-47D5-B42F-3E7DB0C479D7}" type="TxLink">
            <a:rPr lang="en-US" altLang="ja-JP" sz="1100" b="1" i="0" u="none" strike="noStrike">
              <a:solidFill>
                <a:srgbClr val="000000"/>
              </a:solidFill>
              <a:latin typeface="Arialri"/>
            </a:rPr>
            <a:pPr/>
            <a:t>World Class</a:t>
          </a:fld>
          <a:endParaRPr lang="en-US" sz="1100" b="1"/>
        </a:p>
      </cdr:txBody>
    </cdr:sp>
  </cdr:relSizeAnchor>
  <cdr:relSizeAnchor xmlns:cdr="http://schemas.openxmlformats.org/drawingml/2006/chartDrawing">
    <cdr:from>
      <cdr:x>0.0217</cdr:x>
      <cdr:y>0.65257</cdr:y>
    </cdr:from>
    <cdr:to>
      <cdr:x>0.16627</cdr:x>
      <cdr:y>0.79032</cdr:y>
    </cdr:to>
    <cdr:sp macro="" textlink="KPIs!$N$51">
      <cdr:nvSpPr>
        <cdr:cNvPr id="3" name="TextBox 2"/>
        <cdr:cNvSpPr txBox="1"/>
      </cdr:nvSpPr>
      <cdr:spPr>
        <a:xfrm xmlns:a="http://schemas.openxmlformats.org/drawingml/2006/main">
          <a:off x="87005" y="1926868"/>
          <a:ext cx="579743" cy="40675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fld id="{DECE84F5-BE1D-43D9-A6F6-6201848AAA2A}" type="TxLink">
            <a:rPr lang="en-US" altLang="ja-JP" sz="1100" b="1" i="0" u="none" strike="noStrike">
              <a:solidFill>
                <a:srgbClr val="000000"/>
              </a:solidFill>
              <a:latin typeface="Arialri"/>
            </a:rPr>
            <a:pPr/>
            <a:t>Low</a:t>
          </a:fld>
          <a:endParaRPr lang="en-US" sz="1100" b="1"/>
        </a:p>
      </cdr:txBody>
    </cdr:sp>
  </cdr:relSizeAnchor>
</c:userShapes>
</file>

<file path=xl/drawings/drawing4.xml><?xml version="1.0" encoding="utf-8"?>
<xdr:wsDr xmlns:xdr="http://schemas.openxmlformats.org/drawingml/2006/spreadsheetDrawing" xmlns:a="http://schemas.openxmlformats.org/drawingml/2006/main">
  <xdr:twoCellAnchor>
    <xdr:from>
      <xdr:col>5</xdr:col>
      <xdr:colOff>333375</xdr:colOff>
      <xdr:row>11</xdr:row>
      <xdr:rowOff>28574</xdr:rowOff>
    </xdr:from>
    <xdr:to>
      <xdr:col>8</xdr:col>
      <xdr:colOff>1552575</xdr:colOff>
      <xdr:row>31</xdr:row>
      <xdr:rowOff>66674</xdr:rowOff>
    </xdr:to>
    <xdr:graphicFrame macro="">
      <xdr:nvGraphicFramePr>
        <xdr:cNvPr id="251959" name="Chart 5">
          <a:extLst>
            <a:ext uri="{FF2B5EF4-FFF2-40B4-BE49-F238E27FC236}">
              <a16:creationId xmlns:a16="http://schemas.microsoft.com/office/drawing/2014/main" id="{00000000-0008-0000-0300-000037D8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790576</xdr:colOff>
      <xdr:row>11</xdr:row>
      <xdr:rowOff>28574</xdr:rowOff>
    </xdr:from>
    <xdr:to>
      <xdr:col>5</xdr:col>
      <xdr:colOff>238125</xdr:colOff>
      <xdr:row>31</xdr:row>
      <xdr:rowOff>66674</xdr:rowOff>
    </xdr:to>
    <xdr:graphicFrame macro="">
      <xdr:nvGraphicFramePr>
        <xdr:cNvPr id="5" name="Chart 5">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809625</xdr:colOff>
      <xdr:row>53</xdr:row>
      <xdr:rowOff>76200</xdr:rowOff>
    </xdr:from>
    <xdr:to>
      <xdr:col>8</xdr:col>
      <xdr:colOff>876300</xdr:colOff>
      <xdr:row>73</xdr:row>
      <xdr:rowOff>114300</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457201</xdr:colOff>
      <xdr:row>53</xdr:row>
      <xdr:rowOff>76200</xdr:rowOff>
    </xdr:from>
    <xdr:to>
      <xdr:col>4</xdr:col>
      <xdr:colOff>714376</xdr:colOff>
      <xdr:row>73</xdr:row>
      <xdr:rowOff>114300</xdr:rowOff>
    </xdr:to>
    <xdr:graphicFrame macro="">
      <xdr:nvGraphicFramePr>
        <xdr:cNvPr id="7" name="Chart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104775</xdr:colOff>
      <xdr:row>105</xdr:row>
      <xdr:rowOff>85725</xdr:rowOff>
    </xdr:from>
    <xdr:to>
      <xdr:col>5</xdr:col>
      <xdr:colOff>266700</xdr:colOff>
      <xdr:row>128</xdr:row>
      <xdr:rowOff>114300</xdr:rowOff>
    </xdr:to>
    <xdr:graphicFrame macro="">
      <xdr:nvGraphicFramePr>
        <xdr:cNvPr id="7" name="Chart 1">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342901</xdr:colOff>
      <xdr:row>105</xdr:row>
      <xdr:rowOff>104775</xdr:rowOff>
    </xdr:from>
    <xdr:to>
      <xdr:col>10</xdr:col>
      <xdr:colOff>1571625</xdr:colOff>
      <xdr:row>128</xdr:row>
      <xdr:rowOff>133350</xdr:rowOff>
    </xdr:to>
    <xdr:graphicFrame macro="">
      <xdr:nvGraphicFramePr>
        <xdr:cNvPr id="8" name="Chart 2">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38100</xdr:colOff>
      <xdr:row>27</xdr:row>
      <xdr:rowOff>114300</xdr:rowOff>
    </xdr:from>
    <xdr:to>
      <xdr:col>4</xdr:col>
      <xdr:colOff>180975</xdr:colOff>
      <xdr:row>47</xdr:row>
      <xdr:rowOff>28575</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361950</xdr:colOff>
      <xdr:row>27</xdr:row>
      <xdr:rowOff>114300</xdr:rowOff>
    </xdr:from>
    <xdr:to>
      <xdr:col>9</xdr:col>
      <xdr:colOff>742950</xdr:colOff>
      <xdr:row>47</xdr:row>
      <xdr:rowOff>28575</xdr:rowOff>
    </xdr:to>
    <xdr:graphicFrame macro="">
      <xdr:nvGraphicFramePr>
        <xdr:cNvPr id="10" name="Chart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57150</xdr:colOff>
      <xdr:row>22</xdr:row>
      <xdr:rowOff>38100</xdr:rowOff>
    </xdr:from>
    <xdr:to>
      <xdr:col>5</xdr:col>
      <xdr:colOff>695325</xdr:colOff>
      <xdr:row>46</xdr:row>
      <xdr:rowOff>95250</xdr:rowOff>
    </xdr:to>
    <xdr:graphicFrame macro="">
      <xdr:nvGraphicFramePr>
        <xdr:cNvPr id="36050" name="Chart 20">
          <a:extLst>
            <a:ext uri="{FF2B5EF4-FFF2-40B4-BE49-F238E27FC236}">
              <a16:creationId xmlns:a16="http://schemas.microsoft.com/office/drawing/2014/main" id="{00000000-0008-0000-0500-0000D28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31507</xdr:colOff>
      <xdr:row>47</xdr:row>
      <xdr:rowOff>46890</xdr:rowOff>
    </xdr:from>
    <xdr:to>
      <xdr:col>5</xdr:col>
      <xdr:colOff>161925</xdr:colOff>
      <xdr:row>67</xdr:row>
      <xdr:rowOff>66675</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31507</xdr:colOff>
      <xdr:row>68</xdr:row>
      <xdr:rowOff>123825</xdr:rowOff>
    </xdr:from>
    <xdr:to>
      <xdr:col>5</xdr:col>
      <xdr:colOff>161925</xdr:colOff>
      <xdr:row>88</xdr:row>
      <xdr:rowOff>143610</xdr:rowOff>
    </xdr:to>
    <xdr:graphicFrame macro="">
      <xdr:nvGraphicFramePr>
        <xdr:cNvPr id="9" name="Chart 8">
          <a:extLst>
            <a:ext uri="{FF2B5EF4-FFF2-40B4-BE49-F238E27FC236}">
              <a16:creationId xmlns:a16="http://schemas.microsoft.com/office/drawing/2014/main" id="{00000000-0008-0000-06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68</xdr:row>
      <xdr:rowOff>123825</xdr:rowOff>
    </xdr:from>
    <xdr:to>
      <xdr:col>12</xdr:col>
      <xdr:colOff>200025</xdr:colOff>
      <xdr:row>88</xdr:row>
      <xdr:rowOff>143610</xdr:rowOff>
    </xdr:to>
    <xdr:graphicFrame macro="">
      <xdr:nvGraphicFramePr>
        <xdr:cNvPr id="10" name="Chart 9">
          <a:extLst>
            <a:ext uri="{FF2B5EF4-FFF2-40B4-BE49-F238E27FC236}">
              <a16:creationId xmlns:a16="http://schemas.microsoft.com/office/drawing/2014/main" id="{00000000-0008-0000-06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47</xdr:row>
      <xdr:rowOff>46890</xdr:rowOff>
    </xdr:from>
    <xdr:to>
      <xdr:col>12</xdr:col>
      <xdr:colOff>200025</xdr:colOff>
      <xdr:row>67</xdr:row>
      <xdr:rowOff>66675</xdr:rowOff>
    </xdr:to>
    <xdr:graphicFrame macro="">
      <xdr:nvGraphicFramePr>
        <xdr:cNvPr id="11" name="Chart 10">
          <a:extLst>
            <a:ext uri="{FF2B5EF4-FFF2-40B4-BE49-F238E27FC236}">
              <a16:creationId xmlns:a16="http://schemas.microsoft.com/office/drawing/2014/main" id="{00000000-0008-0000-06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234</xdr:row>
      <xdr:rowOff>0</xdr:rowOff>
    </xdr:from>
    <xdr:to>
      <xdr:col>6</xdr:col>
      <xdr:colOff>428625</xdr:colOff>
      <xdr:row>252</xdr:row>
      <xdr:rowOff>104775</xdr:rowOff>
    </xdr:to>
    <xdr:graphicFrame macro="">
      <xdr:nvGraphicFramePr>
        <xdr:cNvPr id="15" name="Chart 14">
          <a:extLst>
            <a:ext uri="{FF2B5EF4-FFF2-40B4-BE49-F238E27FC236}">
              <a16:creationId xmlns:a16="http://schemas.microsoft.com/office/drawing/2014/main" id="{00000000-0008-0000-06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104775</xdr:colOff>
      <xdr:row>234</xdr:row>
      <xdr:rowOff>9525</xdr:rowOff>
    </xdr:from>
    <xdr:to>
      <xdr:col>15</xdr:col>
      <xdr:colOff>514350</xdr:colOff>
      <xdr:row>252</xdr:row>
      <xdr:rowOff>114300</xdr:rowOff>
    </xdr:to>
    <xdr:graphicFrame macro="">
      <xdr:nvGraphicFramePr>
        <xdr:cNvPr id="16" name="Chart 15">
          <a:extLst>
            <a:ext uri="{FF2B5EF4-FFF2-40B4-BE49-F238E27FC236}">
              <a16:creationId xmlns:a16="http://schemas.microsoft.com/office/drawing/2014/main" id="{00000000-0008-0000-06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104775</xdr:colOff>
      <xdr:row>253</xdr:row>
      <xdr:rowOff>114300</xdr:rowOff>
    </xdr:from>
    <xdr:to>
      <xdr:col>15</xdr:col>
      <xdr:colOff>514350</xdr:colOff>
      <xdr:row>272</xdr:row>
      <xdr:rowOff>57150</xdr:rowOff>
    </xdr:to>
    <xdr:graphicFrame macro="">
      <xdr:nvGraphicFramePr>
        <xdr:cNvPr id="17" name="Chart 16">
          <a:extLst>
            <a:ext uri="{FF2B5EF4-FFF2-40B4-BE49-F238E27FC236}">
              <a16:creationId xmlns:a16="http://schemas.microsoft.com/office/drawing/2014/main" id="{00000000-0008-0000-06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253</xdr:row>
      <xdr:rowOff>123825</xdr:rowOff>
    </xdr:from>
    <xdr:to>
      <xdr:col>6</xdr:col>
      <xdr:colOff>428625</xdr:colOff>
      <xdr:row>272</xdr:row>
      <xdr:rowOff>66675</xdr:rowOff>
    </xdr:to>
    <xdr:graphicFrame macro="">
      <xdr:nvGraphicFramePr>
        <xdr:cNvPr id="18" name="Chart 17">
          <a:extLst>
            <a:ext uri="{FF2B5EF4-FFF2-40B4-BE49-F238E27FC236}">
              <a16:creationId xmlns:a16="http://schemas.microsoft.com/office/drawing/2014/main" id="{00000000-0008-0000-06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57150</xdr:colOff>
      <xdr:row>279</xdr:row>
      <xdr:rowOff>66675</xdr:rowOff>
    </xdr:from>
    <xdr:to>
      <xdr:col>15</xdr:col>
      <xdr:colOff>371475</xdr:colOff>
      <xdr:row>298</xdr:row>
      <xdr:rowOff>95250</xdr:rowOff>
    </xdr:to>
    <xdr:graphicFrame macro="">
      <xdr:nvGraphicFramePr>
        <xdr:cNvPr id="19" name="Chart 18">
          <a:extLst>
            <a:ext uri="{FF2B5EF4-FFF2-40B4-BE49-F238E27FC236}">
              <a16:creationId xmlns:a16="http://schemas.microsoft.com/office/drawing/2014/main" id="{00000000-0008-0000-06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57150</xdr:colOff>
      <xdr:row>19</xdr:row>
      <xdr:rowOff>1</xdr:rowOff>
    </xdr:from>
    <xdr:to>
      <xdr:col>14</xdr:col>
      <xdr:colOff>0</xdr:colOff>
      <xdr:row>37</xdr:row>
      <xdr:rowOff>104776</xdr:rowOff>
    </xdr:to>
    <xdr:graphicFrame macro="">
      <xdr:nvGraphicFramePr>
        <xdr:cNvPr id="3" name="Chart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676275</xdr:colOff>
      <xdr:row>45</xdr:row>
      <xdr:rowOff>152400</xdr:rowOff>
    </xdr:from>
    <xdr:to>
      <xdr:col>6</xdr:col>
      <xdr:colOff>446555</xdr:colOff>
      <xdr:row>65</xdr:row>
      <xdr:rowOff>85726</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71</xdr:row>
      <xdr:rowOff>0</xdr:rowOff>
    </xdr:from>
    <xdr:to>
      <xdr:col>7</xdr:col>
      <xdr:colOff>19049</xdr:colOff>
      <xdr:row>94</xdr:row>
      <xdr:rowOff>28575</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Temp"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f"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etai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7">
    <wetp:webextensionref xmlns:r="http://schemas.openxmlformats.org/officeDocument/2006/relationships" r:id="rId1"/>
  </wetp:taskpane>
</wetp:taskpanes>
</file>

<file path=xl/webextensions/webextension1.xml><?xml version="1.0" encoding="utf-8"?>
<we:webextension xmlns:we="http://schemas.microsoft.com/office/webextensions/webextension/2010/11" id="{32F21956-5749-4072-A183-A6741EA8BAC7}">
  <we:reference id="wa104380955" version="1.3.0.0" store="en-US"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8" Type="http://schemas.openxmlformats.org/officeDocument/2006/relationships/hyperlink" Target="https://www.analysisplace.com/" TargetMode="External"/><Relationship Id="rId3" Type="http://schemas.openxmlformats.org/officeDocument/2006/relationships/hyperlink" Target="http://analysisplace.com/about/privacy" TargetMode="External"/><Relationship Id="rId7" Type="http://schemas.openxmlformats.org/officeDocument/2006/relationships/hyperlink" Target="https://analysisplace.com/Document-Automation" TargetMode="External"/><Relationship Id="rId2" Type="http://schemas.openxmlformats.org/officeDocument/2006/relationships/hyperlink" Target="http://www.analysisplace.com/" TargetMode="External"/><Relationship Id="rId1" Type="http://schemas.openxmlformats.org/officeDocument/2006/relationships/hyperlink" Target="http://www.hallcr.com/" TargetMode="External"/><Relationship Id="rId6" Type="http://schemas.openxmlformats.org/officeDocument/2006/relationships/hyperlink" Target="http://analysisplace.com/privacy" TargetMode="External"/><Relationship Id="rId5" Type="http://schemas.openxmlformats.org/officeDocument/2006/relationships/hyperlink" Target="http://analysisplace.com/terms" TargetMode="External"/><Relationship Id="rId10" Type="http://schemas.openxmlformats.org/officeDocument/2006/relationships/drawing" Target="../drawings/drawing1.xml"/><Relationship Id="rId4" Type="http://schemas.openxmlformats.org/officeDocument/2006/relationships/hyperlink" Target="http://analysisplace.com/about/terms"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0.bin"/><Relationship Id="rId1" Type="http://schemas.openxmlformats.org/officeDocument/2006/relationships/hyperlink" Target="http://www.hallcr.co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hallcr.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hallcr.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hallcr.com/"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hallc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L114"/>
  <sheetViews>
    <sheetView showGridLines="0" tabSelected="1" workbookViewId="0" xr3:uid="{AEA406A1-0E4B-5B11-9CD5-51D6E497D94C}"/>
  </sheetViews>
  <sheetFormatPr defaultColWidth="9.140625" defaultRowHeight="12.75"/>
  <cols>
    <col min="1" max="1" width="1.5703125" style="24" customWidth="1"/>
    <col min="2" max="2" width="6" style="24" customWidth="1"/>
    <col min="3" max="3" width="3.7109375" style="24" customWidth="1"/>
    <col min="4" max="4" width="12.5703125" style="24" customWidth="1"/>
    <col min="5" max="5" width="35.7109375" style="24" customWidth="1"/>
    <col min="6" max="6" width="49.85546875" style="123" customWidth="1"/>
    <col min="7" max="7" width="49.85546875" style="24" customWidth="1"/>
    <col min="8" max="8" width="7.42578125" style="24" customWidth="1"/>
    <col min="9" max="9" width="1" style="24" customWidth="1"/>
    <col min="10" max="10" width="2.5703125" style="24" customWidth="1"/>
    <col min="11" max="16384" width="9.140625" style="24"/>
  </cols>
  <sheetData>
    <row r="1" spans="1:12" ht="37.5" customHeight="1">
      <c r="A1" s="270"/>
      <c r="B1" s="270"/>
      <c r="C1" s="270"/>
      <c r="D1" s="270"/>
      <c r="E1" s="270"/>
      <c r="F1" s="270"/>
      <c r="G1" s="270"/>
      <c r="H1" s="270"/>
      <c r="I1" s="270"/>
      <c r="J1" s="270"/>
      <c r="K1" s="100" t="s">
        <v>0</v>
      </c>
      <c r="L1" s="270"/>
    </row>
    <row r="2" spans="1:12" s="123" customFormat="1">
      <c r="A2" s="270"/>
      <c r="B2" s="270"/>
      <c r="C2" s="722"/>
      <c r="D2" s="722"/>
      <c r="E2" s="722"/>
      <c r="F2" s="722"/>
      <c r="G2" s="722"/>
      <c r="H2" s="270"/>
      <c r="I2" s="270"/>
      <c r="J2" s="270"/>
      <c r="K2" s="100"/>
      <c r="L2" s="270"/>
    </row>
    <row r="3" spans="1:12" s="123" customFormat="1" ht="7.5" customHeight="1">
      <c r="A3" s="270"/>
      <c r="B3" s="77"/>
      <c r="C3" s="530"/>
      <c r="D3" s="530"/>
      <c r="E3" s="530"/>
      <c r="F3" s="530"/>
      <c r="G3" s="530"/>
      <c r="H3" s="77"/>
      <c r="I3" s="270"/>
      <c r="J3" s="270"/>
      <c r="K3" s="270"/>
      <c r="L3" s="270"/>
    </row>
    <row r="4" spans="1:12" s="51" customFormat="1" ht="21.75" customHeight="1">
      <c r="A4" s="270"/>
      <c r="B4" s="77"/>
      <c r="C4" s="725" t="s">
        <v>1</v>
      </c>
      <c r="D4" s="725"/>
      <c r="E4" s="725"/>
      <c r="F4" s="725"/>
      <c r="G4" s="725"/>
      <c r="H4" s="77"/>
      <c r="I4" s="270"/>
      <c r="J4" s="270"/>
      <c r="K4" s="77"/>
      <c r="L4" s="270"/>
    </row>
    <row r="5" spans="1:12" s="76" customFormat="1" ht="141" customHeight="1">
      <c r="A5" s="270"/>
      <c r="B5" s="77"/>
      <c r="C5" s="726" t="s">
        <v>2</v>
      </c>
      <c r="D5" s="726"/>
      <c r="E5" s="726"/>
      <c r="F5" s="726"/>
      <c r="G5" s="726"/>
      <c r="H5" s="77"/>
      <c r="I5" s="270"/>
      <c r="J5" s="270"/>
      <c r="K5" s="77"/>
      <c r="L5" s="270"/>
    </row>
    <row r="6" spans="1:12" s="409" customFormat="1" ht="15">
      <c r="A6" s="270"/>
      <c r="B6" s="77"/>
      <c r="C6" s="725" t="s">
        <v>3</v>
      </c>
      <c r="D6" s="725"/>
      <c r="E6" s="725"/>
      <c r="F6" s="725"/>
      <c r="G6" s="725"/>
      <c r="H6" s="77"/>
      <c r="I6" s="270"/>
      <c r="J6" s="270"/>
      <c r="K6" s="77"/>
      <c r="L6" s="270"/>
    </row>
    <row r="7" spans="1:12" s="409" customFormat="1">
      <c r="A7" s="270"/>
      <c r="B7" s="77"/>
      <c r="C7" s="727" t="s">
        <v>4</v>
      </c>
      <c r="D7" s="727"/>
      <c r="E7" s="727"/>
      <c r="F7" s="727"/>
      <c r="G7" s="727"/>
      <c r="H7" s="77"/>
      <c r="I7" s="270"/>
      <c r="J7" s="270"/>
      <c r="K7" s="77"/>
      <c r="L7" s="270"/>
    </row>
    <row r="8" spans="1:12" ht="27" customHeight="1">
      <c r="A8" s="270"/>
      <c r="B8" s="77"/>
      <c r="C8" s="713" t="s">
        <v>5</v>
      </c>
      <c r="D8" s="77"/>
      <c r="E8" s="77"/>
      <c r="F8" s="77"/>
      <c r="G8" s="267" t="s">
        <v>6</v>
      </c>
      <c r="H8" s="77"/>
      <c r="I8" s="270"/>
      <c r="J8" s="270"/>
      <c r="K8" s="270"/>
      <c r="L8" s="270"/>
    </row>
    <row r="9" spans="1:12" s="409" customFormat="1" ht="40.5" customHeight="1">
      <c r="A9" s="270"/>
      <c r="B9" s="77"/>
      <c r="C9" s="714" t="s">
        <v>7</v>
      </c>
      <c r="D9" s="714"/>
      <c r="E9" s="714"/>
      <c r="F9" s="714"/>
      <c r="G9" s="714"/>
      <c r="H9" s="77"/>
      <c r="I9" s="270"/>
      <c r="J9" s="270"/>
      <c r="K9" s="77"/>
      <c r="L9" s="270"/>
    </row>
    <row r="10" spans="1:12" ht="18">
      <c r="A10" s="270"/>
      <c r="B10" s="401" t="s">
        <v>8</v>
      </c>
      <c r="C10" s="77"/>
      <c r="D10" s="77"/>
      <c r="E10" s="77"/>
      <c r="F10" s="77"/>
      <c r="G10" s="77"/>
      <c r="H10" s="77"/>
      <c r="I10" s="270"/>
      <c r="J10" s="270"/>
      <c r="K10" s="270"/>
      <c r="L10" s="270"/>
    </row>
    <row r="11" spans="1:12" ht="25.5">
      <c r="A11" s="270"/>
      <c r="B11" s="77"/>
      <c r="C11" s="77"/>
      <c r="D11" s="268" t="s">
        <v>9</v>
      </c>
      <c r="E11" s="661" t="s">
        <v>10</v>
      </c>
      <c r="F11" s="812" t="s">
        <v>11</v>
      </c>
      <c r="G11" s="812"/>
      <c r="H11" s="77"/>
      <c r="I11" s="270"/>
      <c r="J11" s="270"/>
      <c r="K11" s="270"/>
      <c r="L11" s="270"/>
    </row>
    <row r="12" spans="1:12" ht="44.25" customHeight="1">
      <c r="A12" s="270"/>
      <c r="B12" s="77"/>
      <c r="C12" s="77"/>
      <c r="D12" s="383" t="s">
        <v>12</v>
      </c>
      <c r="E12" s="413" t="s">
        <v>13</v>
      </c>
      <c r="F12" s="723" t="s">
        <v>14</v>
      </c>
      <c r="G12" s="724"/>
      <c r="H12" s="77"/>
      <c r="I12" s="270"/>
      <c r="J12" s="270"/>
      <c r="K12" s="265"/>
      <c r="L12" s="270"/>
    </row>
    <row r="13" spans="1:12" ht="29.25" customHeight="1">
      <c r="A13" s="270"/>
      <c r="B13" s="77"/>
      <c r="C13" s="77"/>
      <c r="D13" s="384" t="s">
        <v>15</v>
      </c>
      <c r="E13" s="413" t="s">
        <v>16</v>
      </c>
      <c r="F13" s="720" t="s">
        <v>17</v>
      </c>
      <c r="G13" s="721"/>
      <c r="H13" s="77"/>
      <c r="I13" s="270"/>
      <c r="J13" s="270"/>
      <c r="K13" s="270"/>
      <c r="L13" s="270"/>
    </row>
    <row r="14" spans="1:12" ht="30" customHeight="1">
      <c r="A14" s="270"/>
      <c r="B14" s="77"/>
      <c r="C14" s="77"/>
      <c r="D14" s="385" t="s">
        <v>18</v>
      </c>
      <c r="E14" s="413" t="s">
        <v>19</v>
      </c>
      <c r="F14" s="720" t="s">
        <v>20</v>
      </c>
      <c r="G14" s="721"/>
      <c r="H14" s="77"/>
      <c r="I14" s="270"/>
      <c r="J14" s="270"/>
      <c r="K14" s="270"/>
      <c r="L14" s="270"/>
    </row>
    <row r="15" spans="1:12" s="76" customFormat="1" ht="16.5" customHeight="1">
      <c r="A15" s="270"/>
      <c r="B15" s="77"/>
      <c r="C15" s="77"/>
      <c r="D15" s="386" t="s">
        <v>21</v>
      </c>
      <c r="E15" s="413" t="s">
        <v>22</v>
      </c>
      <c r="F15" s="720" t="s">
        <v>23</v>
      </c>
      <c r="G15" s="721"/>
      <c r="H15" s="77"/>
      <c r="I15" s="270"/>
      <c r="J15" s="270"/>
      <c r="K15" s="270"/>
      <c r="L15" s="270"/>
    </row>
    <row r="16" spans="1:12" ht="18.75" customHeight="1">
      <c r="A16" s="270"/>
      <c r="B16" s="77"/>
      <c r="C16" s="77"/>
      <c r="D16" s="387" t="s">
        <v>24</v>
      </c>
      <c r="E16" s="413" t="s">
        <v>25</v>
      </c>
      <c r="F16" s="720" t="s">
        <v>26</v>
      </c>
      <c r="G16" s="721"/>
      <c r="H16" s="77"/>
      <c r="I16" s="270"/>
      <c r="J16" s="270"/>
      <c r="K16" s="270"/>
      <c r="L16" s="265"/>
    </row>
    <row r="17" spans="1:12" ht="41.25" customHeight="1">
      <c r="A17" s="270"/>
      <c r="B17" s="77"/>
      <c r="C17" s="77"/>
      <c r="D17" s="387" t="s">
        <v>27</v>
      </c>
      <c r="E17" s="413" t="s">
        <v>28</v>
      </c>
      <c r="F17" s="720" t="s">
        <v>29</v>
      </c>
      <c r="G17" s="721"/>
      <c r="H17" s="77"/>
      <c r="I17" s="270"/>
      <c r="J17" s="270"/>
      <c r="K17" s="270"/>
      <c r="L17" s="270"/>
    </row>
    <row r="18" spans="1:12" ht="27.75" customHeight="1">
      <c r="A18" s="270"/>
      <c r="B18" s="77"/>
      <c r="C18" s="77"/>
      <c r="D18" s="387" t="s">
        <v>30</v>
      </c>
      <c r="E18" s="413" t="s">
        <v>31</v>
      </c>
      <c r="F18" s="720" t="s">
        <v>32</v>
      </c>
      <c r="G18" s="721"/>
      <c r="H18" s="77"/>
      <c r="I18" s="270"/>
      <c r="J18" s="270"/>
      <c r="K18" s="270"/>
      <c r="L18" s="270"/>
    </row>
    <row r="19" spans="1:12" ht="28.5" customHeight="1">
      <c r="A19" s="270"/>
      <c r="B19" s="77"/>
      <c r="C19" s="77"/>
      <c r="D19" s="388" t="s">
        <v>33</v>
      </c>
      <c r="E19" s="413" t="s">
        <v>34</v>
      </c>
      <c r="F19" s="720" t="s">
        <v>35</v>
      </c>
      <c r="G19" s="721"/>
      <c r="H19" s="77"/>
      <c r="I19" s="270"/>
      <c r="J19" s="270"/>
      <c r="K19" s="270"/>
      <c r="L19" s="270"/>
    </row>
    <row r="20" spans="1:12" ht="24.75" customHeight="1">
      <c r="A20" s="270"/>
      <c r="B20" s="77"/>
      <c r="C20" s="77"/>
      <c r="D20" s="389" t="s">
        <v>36</v>
      </c>
      <c r="E20" s="413" t="s">
        <v>37</v>
      </c>
      <c r="F20" s="720" t="s">
        <v>38</v>
      </c>
      <c r="G20" s="721"/>
      <c r="H20" s="77"/>
      <c r="I20" s="270"/>
      <c r="J20" s="270"/>
      <c r="K20" s="270"/>
      <c r="L20" s="270"/>
    </row>
    <row r="21" spans="1:12">
      <c r="A21" s="270"/>
      <c r="B21" s="77"/>
      <c r="C21" s="77"/>
      <c r="D21" s="77"/>
      <c r="E21" s="77"/>
      <c r="F21" s="77"/>
      <c r="G21" s="77"/>
      <c r="H21" s="77"/>
      <c r="I21" s="270"/>
      <c r="J21" s="270"/>
      <c r="K21" s="270"/>
      <c r="L21" s="270"/>
    </row>
    <row r="22" spans="1:12">
      <c r="A22" s="270"/>
      <c r="B22" s="77"/>
      <c r="C22" s="77"/>
      <c r="D22" s="77"/>
      <c r="E22" s="270"/>
      <c r="F22" s="270"/>
      <c r="G22" s="390"/>
      <c r="H22" s="77"/>
      <c r="I22" s="270"/>
      <c r="J22" s="270"/>
      <c r="K22" s="270"/>
      <c r="L22" s="270"/>
    </row>
    <row r="23" spans="1:12" ht="18">
      <c r="A23" s="270"/>
      <c r="B23" s="401" t="s">
        <v>39</v>
      </c>
      <c r="C23" s="77"/>
      <c r="D23" s="77"/>
      <c r="E23" s="77"/>
      <c r="F23" s="77"/>
      <c r="G23" s="77"/>
      <c r="H23" s="77"/>
      <c r="I23" s="270"/>
      <c r="J23" s="270"/>
      <c r="K23" s="270"/>
      <c r="L23" s="270"/>
    </row>
    <row r="24" spans="1:12" s="51" customFormat="1" ht="178.5" customHeight="1">
      <c r="A24" s="270"/>
      <c r="B24" s="77"/>
      <c r="C24" s="716" t="s">
        <v>40</v>
      </c>
      <c r="D24" s="716"/>
      <c r="E24" s="716"/>
      <c r="F24" s="716"/>
      <c r="G24" s="716"/>
      <c r="H24" s="77"/>
      <c r="I24" s="270"/>
      <c r="J24" s="270"/>
      <c r="K24" s="270"/>
      <c r="L24" s="270"/>
    </row>
    <row r="25" spans="1:12" ht="22.5" customHeight="1">
      <c r="A25" s="270"/>
      <c r="B25" s="401" t="s">
        <v>41</v>
      </c>
      <c r="C25" s="77"/>
      <c r="D25" s="77"/>
      <c r="E25" s="77"/>
      <c r="F25" s="77"/>
      <c r="G25" s="77"/>
      <c r="H25" s="77"/>
      <c r="I25" s="270"/>
      <c r="J25" s="270"/>
      <c r="K25" s="270"/>
      <c r="L25" s="270"/>
    </row>
    <row r="26" spans="1:12" s="76" customFormat="1" ht="16.5" customHeight="1">
      <c r="A26" s="270"/>
      <c r="B26" s="77"/>
      <c r="C26" s="716" t="s">
        <v>42</v>
      </c>
      <c r="D26" s="716"/>
      <c r="E26" s="716"/>
      <c r="F26" s="716"/>
      <c r="G26" s="716"/>
      <c r="H26" s="77"/>
      <c r="I26" s="270"/>
      <c r="J26" s="270"/>
      <c r="K26" s="270"/>
      <c r="L26" s="270"/>
    </row>
    <row r="27" spans="1:12" ht="33" customHeight="1">
      <c r="A27" s="270"/>
      <c r="B27" s="77"/>
      <c r="C27" s="77"/>
      <c r="D27" s="77"/>
      <c r="E27" s="77"/>
      <c r="F27" s="77"/>
      <c r="G27" s="77"/>
      <c r="H27" s="77"/>
      <c r="I27" s="270"/>
      <c r="J27" s="270"/>
      <c r="K27" s="270"/>
      <c r="L27" s="270"/>
    </row>
    <row r="28" spans="1:12" ht="33" customHeight="1">
      <c r="A28" s="270"/>
      <c r="B28" s="77"/>
      <c r="C28" s="77"/>
      <c r="D28" s="77"/>
      <c r="E28" s="77"/>
      <c r="F28" s="77"/>
      <c r="G28" s="77"/>
      <c r="H28" s="77"/>
      <c r="I28" s="270"/>
      <c r="J28" s="270"/>
      <c r="K28" s="270"/>
      <c r="L28" s="270"/>
    </row>
    <row r="29" spans="1:12" ht="33" customHeight="1">
      <c r="A29" s="270"/>
      <c r="B29" s="77"/>
      <c r="C29" s="77"/>
      <c r="D29" s="77"/>
      <c r="E29" s="77"/>
      <c r="F29" s="77"/>
      <c r="G29" s="77"/>
      <c r="H29" s="77"/>
      <c r="I29" s="270"/>
      <c r="J29" s="270"/>
      <c r="K29" s="270"/>
      <c r="L29" s="270"/>
    </row>
    <row r="30" spans="1:12" ht="33" customHeight="1">
      <c r="A30" s="270"/>
      <c r="B30" s="77"/>
      <c r="C30" s="77"/>
      <c r="D30" s="77"/>
      <c r="E30" s="77"/>
      <c r="F30" s="77"/>
      <c r="G30" s="77"/>
      <c r="H30" s="77"/>
      <c r="I30" s="270"/>
      <c r="J30" s="270"/>
      <c r="K30" s="270"/>
      <c r="L30" s="270"/>
    </row>
    <row r="31" spans="1:12" ht="33" customHeight="1">
      <c r="A31" s="270"/>
      <c r="B31" s="77"/>
      <c r="C31" s="77"/>
      <c r="D31" s="77"/>
      <c r="E31" s="77"/>
      <c r="F31" s="77"/>
      <c r="G31" s="77"/>
      <c r="H31" s="77"/>
      <c r="I31" s="270"/>
      <c r="J31" s="270"/>
      <c r="K31" s="270"/>
      <c r="L31" s="270"/>
    </row>
    <row r="32" spans="1:12" ht="33" customHeight="1">
      <c r="A32" s="270"/>
      <c r="B32" s="77"/>
      <c r="C32" s="77"/>
      <c r="D32" s="77"/>
      <c r="E32" s="77"/>
      <c r="F32" s="77"/>
      <c r="G32" s="77"/>
      <c r="H32" s="77"/>
      <c r="I32" s="270"/>
      <c r="J32" s="270"/>
      <c r="K32" s="270"/>
      <c r="L32" s="270"/>
    </row>
    <row r="33" spans="1:12" ht="33" customHeight="1">
      <c r="A33" s="270"/>
      <c r="B33" s="77"/>
      <c r="C33" s="77"/>
      <c r="D33" s="77"/>
      <c r="E33" s="77"/>
      <c r="F33" s="77"/>
      <c r="G33" s="77"/>
      <c r="H33" s="77"/>
      <c r="I33" s="270"/>
      <c r="J33" s="270"/>
      <c r="K33" s="270"/>
      <c r="L33" s="270"/>
    </row>
    <row r="34" spans="1:12" ht="33" customHeight="1">
      <c r="A34" s="270"/>
      <c r="B34" s="77"/>
      <c r="C34" s="77"/>
      <c r="D34" s="77"/>
      <c r="E34" s="77"/>
      <c r="F34" s="77"/>
      <c r="G34" s="77"/>
      <c r="H34" s="77"/>
      <c r="I34" s="270"/>
      <c r="J34" s="265"/>
      <c r="K34" s="270"/>
      <c r="L34" s="270"/>
    </row>
    <row r="35" spans="1:12" ht="33" customHeight="1">
      <c r="A35" s="270"/>
      <c r="B35" s="77"/>
      <c r="C35" s="77"/>
      <c r="D35" s="77"/>
      <c r="E35" s="77"/>
      <c r="F35" s="77"/>
      <c r="G35" s="77"/>
      <c r="H35" s="77"/>
      <c r="I35" s="270"/>
      <c r="J35" s="265"/>
      <c r="K35" s="270"/>
      <c r="L35" s="270"/>
    </row>
    <row r="36" spans="1:12" ht="33" customHeight="1">
      <c r="A36" s="270"/>
      <c r="B36" s="77"/>
      <c r="C36" s="77"/>
      <c r="D36" s="77"/>
      <c r="E36" s="77"/>
      <c r="F36" s="77"/>
      <c r="G36" s="77"/>
      <c r="H36" s="77"/>
      <c r="I36" s="270"/>
      <c r="J36" s="270"/>
      <c r="K36" s="270"/>
      <c r="L36" s="270"/>
    </row>
    <row r="37" spans="1:12" ht="33" customHeight="1">
      <c r="A37" s="270"/>
      <c r="B37" s="77"/>
      <c r="C37" s="77"/>
      <c r="D37" s="77"/>
      <c r="E37" s="77"/>
      <c r="F37" s="77"/>
      <c r="G37" s="77"/>
      <c r="H37" s="77"/>
      <c r="I37" s="270"/>
      <c r="J37" s="270"/>
      <c r="K37" s="270"/>
      <c r="L37" s="270"/>
    </row>
    <row r="38" spans="1:12">
      <c r="A38" s="270"/>
      <c r="B38" s="77"/>
      <c r="C38" s="77"/>
      <c r="D38" s="77"/>
      <c r="E38" s="77"/>
      <c r="F38" s="77"/>
      <c r="G38" s="77"/>
      <c r="H38" s="77"/>
      <c r="I38" s="270"/>
      <c r="J38" s="270"/>
      <c r="K38" s="270"/>
      <c r="L38" s="270"/>
    </row>
    <row r="39" spans="1:12" ht="18">
      <c r="A39" s="270"/>
      <c r="B39" s="401" t="s">
        <v>43</v>
      </c>
      <c r="C39" s="77"/>
      <c r="D39" s="77"/>
      <c r="E39" s="77"/>
      <c r="F39" s="77"/>
      <c r="G39" s="77"/>
      <c r="H39" s="77"/>
      <c r="I39" s="270"/>
      <c r="J39" s="270"/>
      <c r="K39" s="270"/>
      <c r="L39" s="270"/>
    </row>
    <row r="40" spans="1:12" ht="117.75" customHeight="1">
      <c r="A40" s="270"/>
      <c r="B40" s="77"/>
      <c r="C40" s="716" t="s">
        <v>44</v>
      </c>
      <c r="D40" s="716"/>
      <c r="E40" s="716"/>
      <c r="F40" s="716"/>
      <c r="G40" s="716"/>
      <c r="H40" s="77"/>
      <c r="I40" s="270"/>
      <c r="J40" s="270"/>
      <c r="K40" s="270"/>
      <c r="L40" s="270"/>
    </row>
    <row r="41" spans="1:12" ht="18">
      <c r="A41" s="270"/>
      <c r="B41" s="401" t="s">
        <v>45</v>
      </c>
      <c r="C41" s="77"/>
      <c r="D41" s="77"/>
      <c r="E41" s="77"/>
      <c r="F41" s="77"/>
      <c r="G41" s="77"/>
      <c r="H41" s="77"/>
      <c r="I41" s="270"/>
      <c r="J41" s="270"/>
      <c r="K41" s="270"/>
      <c r="L41" s="270"/>
    </row>
    <row r="42" spans="1:12" ht="69.75" customHeight="1">
      <c r="A42" s="270"/>
      <c r="B42" s="77"/>
      <c r="C42" s="716" t="s">
        <v>46</v>
      </c>
      <c r="D42" s="717"/>
      <c r="E42" s="717"/>
      <c r="F42" s="717"/>
      <c r="G42" s="717"/>
      <c r="H42" s="77"/>
      <c r="I42" s="270"/>
      <c r="J42" s="270"/>
      <c r="K42" s="270"/>
      <c r="L42" s="270"/>
    </row>
    <row r="43" spans="1:12" ht="22.5" customHeight="1">
      <c r="A43" s="270"/>
      <c r="B43" s="77"/>
      <c r="C43" s="662" t="s">
        <v>47</v>
      </c>
      <c r="D43" s="77"/>
      <c r="E43" s="77"/>
      <c r="F43" s="77"/>
      <c r="G43" s="77"/>
      <c r="H43" s="77"/>
      <c r="I43" s="270"/>
      <c r="J43" s="270"/>
      <c r="K43" s="270"/>
      <c r="L43" s="270"/>
    </row>
    <row r="44" spans="1:12" s="123" customFormat="1" ht="18" customHeight="1">
      <c r="A44" s="270"/>
      <c r="B44" s="77"/>
      <c r="C44" s="662"/>
      <c r="D44" s="719" t="s">
        <v>48</v>
      </c>
      <c r="E44" s="719"/>
      <c r="F44" s="719"/>
      <c r="G44" s="719"/>
      <c r="H44" s="77"/>
      <c r="I44" s="270"/>
      <c r="J44" s="270"/>
      <c r="K44" s="270"/>
      <c r="L44" s="270"/>
    </row>
    <row r="45" spans="1:12" s="123" customFormat="1">
      <c r="A45" s="270"/>
      <c r="B45" s="77"/>
      <c r="C45" s="662"/>
      <c r="D45" s="719" t="s">
        <v>49</v>
      </c>
      <c r="E45" s="719"/>
      <c r="F45" s="719"/>
      <c r="G45" s="719"/>
      <c r="H45" s="77"/>
      <c r="I45" s="270"/>
      <c r="J45" s="270"/>
      <c r="K45" s="270"/>
      <c r="L45" s="270"/>
    </row>
    <row r="46" spans="1:12" ht="15.75" customHeight="1">
      <c r="A46" s="270"/>
      <c r="B46" s="270"/>
      <c r="C46" s="718"/>
      <c r="D46" s="718"/>
      <c r="E46" s="718"/>
      <c r="F46" s="718"/>
      <c r="G46" s="718"/>
      <c r="H46" s="270"/>
      <c r="I46" s="270"/>
      <c r="J46" s="270"/>
      <c r="K46" s="270"/>
      <c r="L46" s="270"/>
    </row>
    <row r="47" spans="1:12" s="409" customFormat="1" ht="18">
      <c r="A47" s="270"/>
      <c r="B47" s="401" t="s">
        <v>50</v>
      </c>
      <c r="C47" s="77"/>
      <c r="D47" s="77"/>
      <c r="E47" s="77"/>
      <c r="F47" s="77"/>
      <c r="G47" s="77"/>
      <c r="H47" s="77"/>
      <c r="I47" s="270"/>
      <c r="J47" s="270"/>
      <c r="K47" s="270"/>
      <c r="L47" s="270"/>
    </row>
    <row r="48" spans="1:12" s="409" customFormat="1" ht="35.25" customHeight="1">
      <c r="A48" s="270"/>
      <c r="B48" s="77"/>
      <c r="C48" s="716" t="s">
        <v>51</v>
      </c>
      <c r="D48" s="717"/>
      <c r="E48" s="717"/>
      <c r="F48" s="717"/>
      <c r="G48" s="717"/>
      <c r="H48" s="77"/>
      <c r="I48" s="270"/>
      <c r="J48" s="270"/>
      <c r="K48" s="270"/>
      <c r="L48" s="270"/>
    </row>
    <row r="49" spans="1:12" s="409" customFormat="1" ht="42" customHeight="1">
      <c r="A49" s="270"/>
      <c r="B49" s="77"/>
      <c r="C49" s="716" t="s">
        <v>52</v>
      </c>
      <c r="D49" s="717"/>
      <c r="E49" s="717"/>
      <c r="F49" s="717"/>
      <c r="G49" s="717"/>
      <c r="H49" s="77"/>
      <c r="I49" s="270"/>
      <c r="J49" s="270"/>
      <c r="K49" s="270"/>
      <c r="L49" s="270"/>
    </row>
    <row r="50" spans="1:12" s="409" customFormat="1" ht="117" customHeight="1">
      <c r="A50" s="270"/>
      <c r="B50" s="77"/>
      <c r="C50" s="716" t="s">
        <v>53</v>
      </c>
      <c r="D50" s="717"/>
      <c r="E50" s="717"/>
      <c r="F50" s="717"/>
      <c r="G50" s="717"/>
      <c r="H50" s="77"/>
      <c r="I50" s="270"/>
      <c r="J50" s="270"/>
      <c r="K50" s="270"/>
      <c r="L50" s="270"/>
    </row>
    <row r="51" spans="1:12" s="409" customFormat="1" ht="15.75" customHeight="1">
      <c r="A51" s="270"/>
      <c r="B51" s="270"/>
      <c r="C51" s="663"/>
      <c r="D51" s="663"/>
      <c r="E51" s="663"/>
      <c r="F51" s="663"/>
      <c r="G51" s="663"/>
      <c r="H51" s="270"/>
      <c r="I51" s="270"/>
      <c r="J51" s="270"/>
      <c r="K51" s="270"/>
      <c r="L51" s="270"/>
    </row>
    <row r="52" spans="1:12" s="409" customFormat="1" ht="15.75" customHeight="1">
      <c r="A52" s="270"/>
      <c r="B52" s="270"/>
      <c r="C52" s="663"/>
      <c r="D52" s="663"/>
      <c r="E52" s="663"/>
      <c r="F52" s="663"/>
      <c r="G52" s="663"/>
      <c r="H52" s="270"/>
      <c r="I52" s="270"/>
      <c r="J52" s="270"/>
      <c r="K52" s="270"/>
      <c r="L52" s="270"/>
    </row>
    <row r="53" spans="1:12" s="409" customFormat="1" ht="15.75" customHeight="1">
      <c r="A53" s="270"/>
      <c r="B53" s="270"/>
      <c r="C53" s="663"/>
      <c r="D53" s="663"/>
      <c r="E53" s="663"/>
      <c r="F53" s="663"/>
      <c r="G53" s="663"/>
      <c r="H53" s="270"/>
      <c r="I53" s="270"/>
      <c r="J53" s="270"/>
      <c r="K53" s="270"/>
      <c r="L53" s="270"/>
    </row>
    <row r="54" spans="1:12" s="409" customFormat="1" ht="15.75" customHeight="1">
      <c r="A54" s="270"/>
      <c r="B54" s="270"/>
      <c r="C54" s="663"/>
      <c r="D54" s="663"/>
      <c r="E54" s="663"/>
      <c r="F54" s="663"/>
      <c r="G54" s="663"/>
      <c r="H54" s="270"/>
      <c r="I54" s="270"/>
      <c r="J54" s="270"/>
      <c r="K54" s="270"/>
      <c r="L54" s="270"/>
    </row>
    <row r="55" spans="1:12" ht="18">
      <c r="A55" s="270"/>
      <c r="B55" s="401" t="s">
        <v>54</v>
      </c>
      <c r="C55" s="77"/>
      <c r="D55" s="77"/>
      <c r="E55" s="77"/>
      <c r="F55" s="77"/>
      <c r="G55" s="77"/>
      <c r="H55" s="77"/>
      <c r="I55" s="270"/>
      <c r="J55" s="270"/>
      <c r="K55" s="270"/>
      <c r="L55" s="270"/>
    </row>
    <row r="56" spans="1:12" s="76" customFormat="1">
      <c r="A56" s="270"/>
      <c r="B56" s="77"/>
      <c r="C56" s="716" t="s">
        <v>55</v>
      </c>
      <c r="D56" s="717"/>
      <c r="E56" s="717"/>
      <c r="F56" s="717"/>
      <c r="G56" s="717"/>
      <c r="H56" s="77"/>
      <c r="I56" s="270"/>
      <c r="J56" s="270"/>
      <c r="K56" s="270"/>
      <c r="L56" s="270"/>
    </row>
    <row r="57" spans="1:12" ht="19.5" customHeight="1">
      <c r="A57" s="270"/>
      <c r="B57" s="270"/>
      <c r="C57" s="270"/>
      <c r="D57" s="270" t="s">
        <v>56</v>
      </c>
      <c r="E57" s="270"/>
      <c r="F57" s="270"/>
      <c r="G57" s="270"/>
      <c r="H57" s="270"/>
      <c r="I57" s="270"/>
      <c r="J57" s="270"/>
      <c r="K57" s="270"/>
      <c r="L57" s="270"/>
    </row>
    <row r="58" spans="1:12">
      <c r="A58" s="270"/>
      <c r="B58" s="270"/>
      <c r="C58" s="270"/>
      <c r="D58" s="129" t="s">
        <v>57</v>
      </c>
      <c r="E58" s="270"/>
      <c r="F58" s="270"/>
      <c r="G58" s="270"/>
      <c r="H58" s="270"/>
      <c r="I58" s="270"/>
      <c r="J58" s="270"/>
      <c r="K58" s="270"/>
      <c r="L58" s="270"/>
    </row>
    <row r="59" spans="1:12">
      <c r="A59" s="270"/>
      <c r="B59" s="270"/>
      <c r="C59" s="270"/>
      <c r="D59" s="129"/>
      <c r="E59" s="270"/>
      <c r="F59" s="270"/>
      <c r="G59" s="270"/>
      <c r="H59" s="270"/>
      <c r="I59" s="270"/>
      <c r="J59" s="270"/>
      <c r="K59" s="270"/>
      <c r="L59" s="270"/>
    </row>
    <row r="60" spans="1:12" ht="6.75" customHeight="1">
      <c r="A60" s="270"/>
      <c r="B60" s="270"/>
      <c r="C60" s="270"/>
      <c r="D60" s="270"/>
      <c r="E60" s="270"/>
      <c r="F60" s="270"/>
      <c r="G60" s="270"/>
      <c r="H60" s="270"/>
      <c r="I60" s="270"/>
      <c r="J60" s="270"/>
      <c r="K60" s="270"/>
      <c r="L60" s="270"/>
    </row>
    <row r="61" spans="1:12">
      <c r="A61" s="270"/>
      <c r="B61" s="270"/>
      <c r="C61" s="715" t="s">
        <v>58</v>
      </c>
      <c r="D61" s="715"/>
      <c r="E61" s="715"/>
      <c r="F61" s="715"/>
      <c r="G61" s="715"/>
      <c r="H61" s="270"/>
      <c r="I61" s="270"/>
      <c r="J61" s="270"/>
      <c r="K61" s="270"/>
      <c r="L61" s="270"/>
    </row>
    <row r="62" spans="1:12">
      <c r="A62" s="270"/>
      <c r="B62" s="270"/>
      <c r="C62" s="270"/>
      <c r="D62" s="270"/>
      <c r="E62" s="270"/>
      <c r="F62" s="270"/>
      <c r="G62" s="270"/>
      <c r="H62" s="270"/>
      <c r="I62" s="270"/>
      <c r="J62" s="270"/>
      <c r="K62" s="270"/>
      <c r="L62" s="270"/>
    </row>
    <row r="63" spans="1:12">
      <c r="A63" s="100" t="s">
        <v>0</v>
      </c>
      <c r="B63" s="270"/>
      <c r="C63" s="270"/>
      <c r="D63" s="270"/>
      <c r="E63" s="270"/>
      <c r="F63" s="270"/>
      <c r="G63" s="270"/>
      <c r="H63" s="270"/>
      <c r="I63" s="270"/>
      <c r="J63" s="270"/>
      <c r="K63" s="270"/>
      <c r="L63" s="270"/>
    </row>
    <row r="64" spans="1:12">
      <c r="A64" s="270"/>
      <c r="B64" s="270"/>
      <c r="C64" s="270"/>
      <c r="D64" s="270"/>
      <c r="E64" s="270"/>
      <c r="F64" s="270"/>
      <c r="G64" s="270"/>
      <c r="H64" s="270"/>
      <c r="I64" s="270"/>
      <c r="J64" s="270"/>
      <c r="K64" s="270"/>
      <c r="L64" s="270"/>
    </row>
    <row r="65" spans="1:12">
      <c r="A65" s="270"/>
      <c r="B65" s="270"/>
      <c r="C65" s="270"/>
      <c r="D65" s="270"/>
      <c r="E65" s="270"/>
      <c r="F65" s="270"/>
      <c r="G65" s="270"/>
      <c r="H65" s="270"/>
      <c r="I65" s="270"/>
      <c r="J65" s="270"/>
      <c r="K65" s="270"/>
      <c r="L65" s="270"/>
    </row>
    <row r="66" spans="1:12">
      <c r="A66" s="270"/>
      <c r="B66" s="270"/>
      <c r="C66" s="270"/>
      <c r="D66" s="270"/>
      <c r="E66" s="270"/>
      <c r="F66" s="270"/>
      <c r="G66" s="270"/>
      <c r="H66" s="270"/>
      <c r="I66" s="270"/>
      <c r="J66" s="270"/>
      <c r="K66" s="270"/>
      <c r="L66" s="270"/>
    </row>
    <row r="67" spans="1:12">
      <c r="A67" s="270"/>
      <c r="B67" s="270"/>
      <c r="C67" s="270"/>
      <c r="D67" s="270"/>
      <c r="E67" s="270"/>
      <c r="F67" s="270"/>
      <c r="G67" s="270"/>
      <c r="H67" s="270"/>
      <c r="I67" s="270"/>
      <c r="J67" s="270"/>
      <c r="K67" s="270"/>
      <c r="L67" s="270"/>
    </row>
    <row r="68" spans="1:12">
      <c r="A68" s="270"/>
      <c r="B68" s="270"/>
      <c r="C68" s="270"/>
      <c r="D68" s="270"/>
      <c r="E68" s="270"/>
      <c r="F68" s="270"/>
      <c r="G68" s="270"/>
      <c r="H68" s="270"/>
      <c r="I68" s="270"/>
      <c r="J68" s="270"/>
      <c r="K68" s="270"/>
      <c r="L68" s="270"/>
    </row>
    <row r="69" spans="1:12">
      <c r="A69" s="270"/>
      <c r="B69" s="270"/>
      <c r="C69" s="270"/>
      <c r="D69" s="270"/>
      <c r="E69" s="270"/>
      <c r="F69" s="270"/>
      <c r="G69" s="270"/>
      <c r="H69" s="270"/>
      <c r="I69" s="270"/>
      <c r="J69" s="270"/>
      <c r="K69" s="270"/>
      <c r="L69" s="270"/>
    </row>
    <row r="70" spans="1:12">
      <c r="A70" s="270"/>
      <c r="B70" s="270"/>
      <c r="C70" s="270"/>
      <c r="D70" s="270"/>
      <c r="E70" s="270"/>
      <c r="F70" s="270"/>
      <c r="G70" s="270"/>
      <c r="H70" s="270"/>
      <c r="I70" s="270"/>
      <c r="J70" s="270"/>
      <c r="K70" s="270"/>
      <c r="L70" s="270"/>
    </row>
    <row r="71" spans="1:12">
      <c r="A71" s="270"/>
      <c r="B71" s="270"/>
      <c r="C71" s="270"/>
      <c r="D71" s="270"/>
      <c r="E71" s="270"/>
      <c r="F71" s="270"/>
      <c r="G71" s="270"/>
      <c r="H71" s="270"/>
      <c r="I71" s="270"/>
      <c r="J71" s="270"/>
      <c r="K71" s="270"/>
      <c r="L71" s="270"/>
    </row>
    <row r="72" spans="1:12">
      <c r="A72" s="270"/>
      <c r="B72" s="270"/>
      <c r="C72" s="270"/>
      <c r="D72" s="270"/>
      <c r="E72" s="270"/>
      <c r="F72" s="270"/>
      <c r="G72" s="270"/>
      <c r="H72" s="270"/>
      <c r="I72" s="270"/>
      <c r="J72" s="270"/>
      <c r="K72" s="270"/>
      <c r="L72" s="270"/>
    </row>
    <row r="73" spans="1:12">
      <c r="A73" s="270"/>
      <c r="B73" s="270"/>
      <c r="C73" s="270"/>
      <c r="D73" s="270"/>
      <c r="E73" s="270"/>
      <c r="F73" s="270"/>
      <c r="G73" s="270"/>
      <c r="H73" s="270"/>
      <c r="I73" s="270"/>
      <c r="J73" s="270"/>
      <c r="K73" s="270"/>
      <c r="L73" s="270"/>
    </row>
    <row r="74" spans="1:12">
      <c r="A74" s="270"/>
      <c r="B74" s="270"/>
      <c r="C74" s="270"/>
      <c r="D74" s="270"/>
      <c r="E74" s="270"/>
      <c r="F74" s="270"/>
      <c r="G74" s="270"/>
      <c r="H74" s="270"/>
      <c r="I74" s="270"/>
      <c r="J74" s="270"/>
      <c r="K74" s="270"/>
      <c r="L74" s="270"/>
    </row>
    <row r="75" spans="1:12">
      <c r="A75" s="270"/>
      <c r="B75" s="270"/>
      <c r="C75" s="270"/>
      <c r="D75" s="270"/>
      <c r="E75" s="270"/>
      <c r="F75" s="270"/>
      <c r="G75" s="270"/>
      <c r="H75" s="270"/>
      <c r="I75" s="270"/>
      <c r="J75" s="270"/>
      <c r="K75" s="270"/>
      <c r="L75" s="270"/>
    </row>
    <row r="76" spans="1:12">
      <c r="A76" s="270"/>
      <c r="B76" s="270"/>
      <c r="C76" s="270"/>
      <c r="D76" s="270"/>
      <c r="E76" s="270"/>
      <c r="F76" s="270"/>
      <c r="G76" s="270"/>
      <c r="H76" s="270"/>
      <c r="I76" s="270"/>
      <c r="J76" s="270"/>
      <c r="K76" s="270"/>
      <c r="L76" s="270"/>
    </row>
    <row r="77" spans="1:12">
      <c r="A77" s="270"/>
      <c r="B77" s="270"/>
      <c r="C77" s="270"/>
      <c r="D77" s="270"/>
      <c r="E77" s="270"/>
      <c r="F77" s="270"/>
      <c r="G77" s="270"/>
      <c r="H77" s="270"/>
      <c r="I77" s="270"/>
      <c r="J77" s="270"/>
      <c r="K77" s="270"/>
      <c r="L77" s="270"/>
    </row>
    <row r="78" spans="1:12">
      <c r="A78" s="270"/>
      <c r="B78" s="270"/>
      <c r="C78" s="270"/>
      <c r="D78" s="270"/>
      <c r="E78" s="270"/>
      <c r="F78" s="270"/>
      <c r="G78" s="270"/>
      <c r="H78" s="270"/>
      <c r="I78" s="270"/>
      <c r="J78" s="270"/>
      <c r="K78" s="270"/>
      <c r="L78" s="270"/>
    </row>
    <row r="79" spans="1:12">
      <c r="A79" s="270"/>
      <c r="B79" s="270"/>
      <c r="C79" s="270"/>
      <c r="D79" s="270"/>
      <c r="E79" s="270"/>
      <c r="F79" s="270"/>
      <c r="G79" s="270"/>
      <c r="H79" s="270"/>
      <c r="I79" s="270"/>
      <c r="J79" s="270"/>
      <c r="K79" s="270"/>
      <c r="L79" s="270"/>
    </row>
    <row r="80" spans="1:12">
      <c r="A80" s="270"/>
      <c r="B80" s="270"/>
      <c r="C80" s="270"/>
      <c r="D80" s="270"/>
      <c r="E80" s="270"/>
      <c r="F80" s="270"/>
      <c r="G80" s="270"/>
      <c r="H80" s="270"/>
      <c r="I80" s="270"/>
      <c r="J80" s="270"/>
      <c r="K80" s="270"/>
      <c r="L80" s="270"/>
    </row>
    <row r="81" spans="1:12">
      <c r="A81" s="270"/>
      <c r="B81" s="270"/>
      <c r="C81" s="270"/>
      <c r="D81" s="270"/>
      <c r="E81" s="270"/>
      <c r="F81" s="270"/>
      <c r="G81" s="270"/>
      <c r="H81" s="270"/>
      <c r="I81" s="270"/>
      <c r="J81" s="270"/>
      <c r="K81" s="270"/>
      <c r="L81" s="270"/>
    </row>
    <row r="82" spans="1:12">
      <c r="A82" s="270"/>
      <c r="B82" s="270"/>
      <c r="C82" s="270"/>
      <c r="D82" s="270"/>
      <c r="E82" s="270"/>
      <c r="F82" s="270"/>
      <c r="G82" s="270"/>
      <c r="H82" s="270"/>
      <c r="I82" s="270"/>
      <c r="J82" s="270"/>
      <c r="K82" s="270"/>
      <c r="L82" s="270"/>
    </row>
    <row r="83" spans="1:12">
      <c r="A83" s="270"/>
      <c r="B83" s="270"/>
      <c r="C83" s="270"/>
      <c r="D83" s="270"/>
      <c r="E83" s="270"/>
      <c r="F83" s="270"/>
      <c r="G83" s="270"/>
      <c r="H83" s="270"/>
      <c r="I83" s="270"/>
      <c r="J83" s="270"/>
      <c r="K83" s="270"/>
      <c r="L83" s="270"/>
    </row>
    <row r="84" spans="1:12">
      <c r="A84" s="270"/>
      <c r="B84" s="270"/>
      <c r="C84" s="270"/>
      <c r="D84" s="270"/>
      <c r="E84" s="270"/>
      <c r="F84" s="270"/>
      <c r="G84" s="270"/>
      <c r="H84" s="270"/>
      <c r="I84" s="270"/>
      <c r="J84" s="270"/>
      <c r="K84" s="270"/>
      <c r="L84" s="270"/>
    </row>
    <row r="85" spans="1:12">
      <c r="A85" s="270"/>
      <c r="B85" s="270"/>
      <c r="C85" s="270"/>
      <c r="D85" s="270"/>
      <c r="E85" s="270"/>
      <c r="F85" s="270"/>
      <c r="G85" s="270"/>
      <c r="H85" s="270"/>
      <c r="I85" s="270"/>
      <c r="J85" s="270"/>
      <c r="K85" s="270"/>
      <c r="L85" s="270"/>
    </row>
    <row r="86" spans="1:12">
      <c r="A86" s="270"/>
      <c r="B86" s="270"/>
      <c r="C86" s="270"/>
      <c r="D86" s="270"/>
      <c r="E86" s="270"/>
      <c r="F86" s="270"/>
      <c r="G86" s="270"/>
      <c r="H86" s="270"/>
      <c r="I86" s="270"/>
      <c r="J86" s="270"/>
      <c r="K86" s="270"/>
      <c r="L86" s="270"/>
    </row>
    <row r="87" spans="1:12">
      <c r="A87" s="270"/>
      <c r="B87" s="270"/>
      <c r="C87" s="270"/>
      <c r="D87" s="270"/>
      <c r="E87" s="270"/>
      <c r="F87" s="270"/>
      <c r="G87" s="270"/>
      <c r="H87" s="270"/>
      <c r="I87" s="270"/>
      <c r="J87" s="270"/>
      <c r="K87" s="270"/>
      <c r="L87" s="270"/>
    </row>
    <row r="88" spans="1:12">
      <c r="A88" s="270"/>
      <c r="B88" s="270"/>
      <c r="C88" s="270"/>
      <c r="D88" s="270"/>
      <c r="E88" s="270"/>
      <c r="F88" s="270"/>
      <c r="G88" s="270"/>
      <c r="H88" s="270"/>
      <c r="I88" s="270"/>
      <c r="J88" s="270"/>
      <c r="K88" s="270"/>
      <c r="L88" s="270"/>
    </row>
    <row r="89" spans="1:12">
      <c r="A89" s="270"/>
      <c r="B89" s="270"/>
      <c r="C89" s="270"/>
      <c r="D89" s="270"/>
      <c r="E89" s="270"/>
      <c r="F89" s="270"/>
      <c r="G89" s="270"/>
      <c r="H89" s="270"/>
      <c r="I89" s="270"/>
      <c r="J89" s="270"/>
      <c r="K89" s="270"/>
      <c r="L89" s="270"/>
    </row>
    <row r="90" spans="1:12">
      <c r="A90" s="270"/>
      <c r="B90" s="270"/>
      <c r="C90" s="270"/>
      <c r="D90" s="270"/>
      <c r="E90" s="270"/>
      <c r="F90" s="270"/>
      <c r="G90" s="270"/>
      <c r="H90" s="270"/>
      <c r="I90" s="270"/>
      <c r="J90" s="270"/>
      <c r="K90" s="270"/>
      <c r="L90" s="270"/>
    </row>
    <row r="91" spans="1:12">
      <c r="A91" s="270"/>
      <c r="B91" s="270"/>
      <c r="C91" s="270"/>
      <c r="D91" s="270"/>
      <c r="E91" s="270"/>
      <c r="F91" s="270"/>
      <c r="G91" s="270"/>
      <c r="H91" s="270"/>
      <c r="I91" s="270"/>
      <c r="J91" s="270"/>
      <c r="K91" s="270"/>
      <c r="L91" s="270"/>
    </row>
    <row r="92" spans="1:12">
      <c r="A92" s="270"/>
      <c r="B92" s="270"/>
      <c r="C92" s="270"/>
      <c r="D92" s="270"/>
      <c r="E92" s="270"/>
      <c r="F92" s="270"/>
      <c r="G92" s="270"/>
      <c r="H92" s="270"/>
      <c r="I92" s="270"/>
      <c r="J92" s="270"/>
      <c r="K92" s="270"/>
      <c r="L92" s="270"/>
    </row>
    <row r="93" spans="1:12">
      <c r="A93" s="270"/>
      <c r="B93" s="270"/>
      <c r="C93" s="270"/>
      <c r="D93" s="270"/>
      <c r="E93" s="270"/>
      <c r="F93" s="270"/>
      <c r="G93" s="270"/>
      <c r="H93" s="270"/>
      <c r="I93" s="270"/>
      <c r="J93" s="270"/>
      <c r="K93" s="270"/>
      <c r="L93" s="270"/>
    </row>
    <row r="94" spans="1:12">
      <c r="A94" s="270"/>
      <c r="B94" s="270"/>
      <c r="C94" s="270"/>
      <c r="D94" s="270"/>
      <c r="E94" s="270"/>
      <c r="F94" s="270"/>
      <c r="G94" s="270"/>
      <c r="H94" s="270"/>
      <c r="I94" s="270"/>
      <c r="J94" s="270"/>
      <c r="K94" s="270"/>
      <c r="L94" s="270"/>
    </row>
    <row r="95" spans="1:12">
      <c r="A95" s="270"/>
      <c r="B95" s="270"/>
      <c r="C95" s="270"/>
      <c r="D95" s="270"/>
      <c r="E95" s="270"/>
      <c r="F95" s="270"/>
      <c r="G95" s="270"/>
      <c r="H95" s="270"/>
      <c r="I95" s="270"/>
      <c r="J95" s="270"/>
      <c r="K95" s="270"/>
      <c r="L95" s="270"/>
    </row>
    <row r="96" spans="1:12">
      <c r="A96" s="270"/>
      <c r="B96" s="270"/>
      <c r="C96" s="270"/>
      <c r="D96" s="270"/>
      <c r="E96" s="270"/>
      <c r="F96" s="270"/>
      <c r="G96" s="270"/>
      <c r="H96" s="270"/>
      <c r="I96" s="270"/>
      <c r="J96" s="270"/>
      <c r="K96" s="270"/>
      <c r="L96" s="270"/>
    </row>
    <row r="97" spans="1:12">
      <c r="A97" s="270"/>
      <c r="B97" s="270"/>
      <c r="C97" s="270"/>
      <c r="D97" s="270"/>
      <c r="E97" s="270"/>
      <c r="F97" s="270"/>
      <c r="G97" s="270"/>
      <c r="H97" s="270"/>
      <c r="I97" s="270"/>
      <c r="J97" s="270"/>
      <c r="K97" s="270"/>
      <c r="L97" s="270"/>
    </row>
    <row r="98" spans="1:12">
      <c r="A98" s="270"/>
      <c r="B98" s="270"/>
      <c r="C98" s="270"/>
      <c r="D98" s="270"/>
      <c r="E98" s="270"/>
      <c r="F98" s="270"/>
      <c r="G98" s="270"/>
      <c r="H98" s="270"/>
      <c r="I98" s="270"/>
      <c r="J98" s="270"/>
      <c r="K98" s="270"/>
      <c r="L98" s="270"/>
    </row>
    <row r="99" spans="1:12">
      <c r="A99" s="270"/>
      <c r="B99" s="270"/>
      <c r="C99" s="270"/>
      <c r="D99" s="270"/>
      <c r="E99" s="270"/>
      <c r="F99" s="270"/>
      <c r="G99" s="270"/>
      <c r="H99" s="270"/>
      <c r="I99" s="270"/>
      <c r="J99" s="270"/>
      <c r="K99" s="270"/>
      <c r="L99" s="270"/>
    </row>
    <row r="100" spans="1:12">
      <c r="A100" s="270"/>
      <c r="B100" s="270"/>
      <c r="C100" s="270"/>
      <c r="D100" s="270"/>
      <c r="E100" s="270"/>
      <c r="F100" s="270"/>
      <c r="G100" s="270"/>
      <c r="H100" s="270"/>
      <c r="I100" s="270"/>
      <c r="J100" s="270"/>
      <c r="K100" s="270"/>
      <c r="L100" s="270"/>
    </row>
    <row r="101" spans="1:12">
      <c r="A101" s="270"/>
      <c r="B101" s="270"/>
      <c r="C101" s="270"/>
      <c r="D101" s="270"/>
      <c r="E101" s="270"/>
      <c r="F101" s="270"/>
      <c r="G101" s="270"/>
      <c r="H101" s="270"/>
      <c r="I101" s="270"/>
      <c r="J101" s="270"/>
      <c r="K101" s="270"/>
      <c r="L101" s="270"/>
    </row>
    <row r="102" spans="1:12">
      <c r="A102" s="270"/>
      <c r="B102" s="270"/>
      <c r="C102" s="270"/>
      <c r="D102" s="270"/>
      <c r="E102" s="270"/>
      <c r="F102" s="270"/>
      <c r="G102" s="270"/>
      <c r="H102" s="270"/>
      <c r="I102" s="270"/>
      <c r="J102" s="270"/>
      <c r="K102" s="270"/>
      <c r="L102" s="270"/>
    </row>
    <row r="103" spans="1:12">
      <c r="A103" s="270"/>
      <c r="B103" s="270"/>
      <c r="C103" s="270"/>
      <c r="D103" s="270"/>
      <c r="E103" s="270"/>
      <c r="F103" s="270"/>
      <c r="G103" s="270"/>
      <c r="H103" s="270"/>
      <c r="I103" s="270"/>
      <c r="J103" s="270"/>
      <c r="K103" s="270"/>
      <c r="L103" s="270"/>
    </row>
    <row r="104" spans="1:12">
      <c r="A104" s="270"/>
      <c r="B104" s="270"/>
      <c r="C104" s="270"/>
      <c r="D104" s="270"/>
      <c r="E104" s="270"/>
      <c r="F104" s="270"/>
      <c r="G104" s="270"/>
      <c r="H104" s="270"/>
      <c r="I104" s="270"/>
      <c r="J104" s="270"/>
      <c r="K104" s="270"/>
      <c r="L104" s="270"/>
    </row>
    <row r="105" spans="1:12">
      <c r="A105" s="270"/>
      <c r="B105" s="270"/>
      <c r="C105" s="270"/>
      <c r="D105" s="270"/>
      <c r="E105" s="270"/>
      <c r="F105" s="270"/>
      <c r="G105" s="270"/>
      <c r="H105" s="270"/>
      <c r="I105" s="270"/>
      <c r="J105" s="270"/>
      <c r="K105" s="270"/>
      <c r="L105" s="270"/>
    </row>
    <row r="106" spans="1:12">
      <c r="A106" s="270"/>
      <c r="B106" s="270"/>
      <c r="C106" s="270"/>
      <c r="D106" s="270"/>
      <c r="E106" s="270"/>
      <c r="F106" s="270"/>
      <c r="G106" s="270"/>
      <c r="H106" s="270"/>
      <c r="I106" s="270"/>
      <c r="J106" s="270"/>
      <c r="K106" s="270"/>
      <c r="L106" s="270"/>
    </row>
    <row r="107" spans="1:12">
      <c r="A107" s="270"/>
      <c r="B107" s="270"/>
      <c r="C107" s="270"/>
      <c r="D107" s="270"/>
      <c r="E107" s="270"/>
      <c r="F107" s="270"/>
      <c r="G107" s="270"/>
      <c r="H107" s="270"/>
      <c r="I107" s="270"/>
      <c r="J107" s="270"/>
      <c r="K107" s="270"/>
      <c r="L107" s="270"/>
    </row>
    <row r="108" spans="1:12">
      <c r="A108" s="270"/>
      <c r="B108" s="270"/>
      <c r="C108" s="270"/>
      <c r="D108" s="270"/>
      <c r="E108" s="270"/>
      <c r="F108" s="270"/>
      <c r="G108" s="270"/>
      <c r="H108" s="270"/>
      <c r="I108" s="270"/>
      <c r="J108" s="270"/>
      <c r="K108" s="270"/>
      <c r="L108" s="270"/>
    </row>
    <row r="109" spans="1:12">
      <c r="A109" s="270"/>
      <c r="B109" s="270"/>
      <c r="C109" s="270"/>
      <c r="D109" s="270"/>
      <c r="E109" s="270"/>
      <c r="F109" s="270"/>
      <c r="G109" s="270"/>
      <c r="H109" s="270"/>
      <c r="I109" s="270"/>
      <c r="J109" s="270"/>
      <c r="K109" s="270"/>
      <c r="L109" s="270"/>
    </row>
    <row r="110" spans="1:12">
      <c r="A110" s="270"/>
      <c r="B110" s="270"/>
      <c r="C110" s="270"/>
      <c r="D110" s="270"/>
      <c r="E110" s="270"/>
      <c r="F110" s="270"/>
      <c r="G110" s="270"/>
      <c r="H110" s="270"/>
      <c r="I110" s="270"/>
      <c r="J110" s="270"/>
      <c r="K110" s="270"/>
      <c r="L110" s="270"/>
    </row>
    <row r="111" spans="1:12">
      <c r="A111" s="270"/>
      <c r="B111" s="270"/>
      <c r="C111" s="270"/>
      <c r="D111" s="270"/>
      <c r="E111" s="270"/>
      <c r="F111" s="270"/>
      <c r="G111" s="270"/>
      <c r="H111" s="270"/>
      <c r="I111" s="270"/>
      <c r="J111" s="270"/>
      <c r="K111" s="270"/>
      <c r="L111" s="270"/>
    </row>
    <row r="112" spans="1:12">
      <c r="A112" s="270"/>
      <c r="B112" s="270"/>
      <c r="C112" s="270"/>
      <c r="D112" s="270"/>
      <c r="E112" s="270"/>
      <c r="F112" s="270"/>
      <c r="G112" s="270"/>
      <c r="H112" s="270"/>
      <c r="I112" s="270"/>
      <c r="J112" s="270"/>
      <c r="K112" s="270"/>
      <c r="L112" s="270"/>
    </row>
    <row r="113" spans="1:12">
      <c r="A113" s="270"/>
      <c r="B113" s="270"/>
      <c r="C113" s="270"/>
      <c r="D113" s="270"/>
      <c r="E113" s="270"/>
      <c r="F113" s="270"/>
      <c r="G113" s="270"/>
      <c r="H113" s="270"/>
      <c r="I113" s="270"/>
      <c r="J113" s="270"/>
      <c r="K113" s="270"/>
      <c r="L113" s="270"/>
    </row>
    <row r="114" spans="1:12">
      <c r="A114" s="270"/>
      <c r="B114" s="270"/>
      <c r="C114" s="270"/>
      <c r="D114" s="270"/>
      <c r="E114" s="270"/>
      <c r="F114" s="270"/>
      <c r="G114" s="270"/>
      <c r="H114" s="270"/>
      <c r="I114" s="270"/>
      <c r="J114" s="270"/>
      <c r="K114" s="270"/>
      <c r="L114" s="270"/>
    </row>
  </sheetData>
  <sheetProtection selectLockedCells="1"/>
  <mergeCells count="28">
    <mergeCell ref="C26:G26"/>
    <mergeCell ref="C2:G2"/>
    <mergeCell ref="F11:G11"/>
    <mergeCell ref="F12:G12"/>
    <mergeCell ref="F13:G13"/>
    <mergeCell ref="F14:G14"/>
    <mergeCell ref="F15:G15"/>
    <mergeCell ref="C24:G24"/>
    <mergeCell ref="C4:G4"/>
    <mergeCell ref="C5:G5"/>
    <mergeCell ref="C7:G7"/>
    <mergeCell ref="C6:G6"/>
    <mergeCell ref="C9:G9"/>
    <mergeCell ref="C61:G61"/>
    <mergeCell ref="C40:G40"/>
    <mergeCell ref="C42:G42"/>
    <mergeCell ref="C56:G56"/>
    <mergeCell ref="C46:G46"/>
    <mergeCell ref="D44:G44"/>
    <mergeCell ref="D45:G45"/>
    <mergeCell ref="C48:G48"/>
    <mergeCell ref="C49:G49"/>
    <mergeCell ref="C50:G50"/>
    <mergeCell ref="F16:G16"/>
    <mergeCell ref="F17:G17"/>
    <mergeCell ref="F18:G18"/>
    <mergeCell ref="F19:G19"/>
    <mergeCell ref="F20:G20"/>
  </mergeCells>
  <hyperlinks>
    <hyperlink ref="C61" r:id="rId1" display="© Copyright, 2007, Hall Consulting &amp; Research LLC, All Rights Reserved.  www.hallcr.com" xr:uid="{00000000-0004-0000-0000-000000000000}"/>
    <hyperlink ref="D58" r:id="rId2" xr:uid="{00000000-0004-0000-0000-000001000000}"/>
    <hyperlink ref="D45" r:id="rId3" display="Terms of Use" xr:uid="{00000000-0004-0000-0000-000002000000}"/>
    <hyperlink ref="D44" r:id="rId4" display="Terms of Use" xr:uid="{00000000-0004-0000-0000-000003000000}"/>
    <hyperlink ref="D44:G44" r:id="rId5" display="Terms of Use:  http://analysisplace.com/terms" xr:uid="{00000000-0004-0000-0000-000004000000}"/>
    <hyperlink ref="D45:G45" r:id="rId6" display="Privacy Statement:   http://analysisplace.com/privacy" xr:uid="{00000000-0004-0000-0000-000005000000}"/>
    <hyperlink ref="C7" r:id="rId7" xr:uid="{7BAC3A7F-9590-4587-BB9C-23990F9AD389}"/>
    <hyperlink ref="C61:G61" r:id="rId8" display="©AnalysisPlace.  www.analysisplace.com" xr:uid="{8A2B9C2E-509E-4C79-98B3-19F17594EC04}"/>
  </hyperlinks>
  <pageMargins left="0.7" right="0.7" top="0.75" bottom="0.75" header="0.3" footer="0.3"/>
  <pageSetup scale="60" fitToHeight="100" orientation="portrait" horizontalDpi="300" verticalDpi="300" r:id="rId9"/>
  <headerFooter>
    <oddHeader>&amp;CAnalysisPlace.com   IT Project ROI and Business Case Toolkit</oddHeader>
    <oddFooter>&amp;L&amp;A&amp;C&amp;F&amp;R&amp;P of &amp;N</oddFooter>
  </headerFooter>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0033CC"/>
  </sheetPr>
  <dimension ref="A1:S420"/>
  <sheetViews>
    <sheetView showGridLines="0" workbookViewId="0" xr3:uid="{7BE570AB-09E9-518F-B8F7-3F91B7162CA9}"/>
  </sheetViews>
  <sheetFormatPr defaultColWidth="9.140625" defaultRowHeight="12.75"/>
  <cols>
    <col min="1" max="1" width="3" style="25" customWidth="1"/>
    <col min="2" max="3" width="2.140625" style="32" customWidth="1"/>
    <col min="4" max="4" width="35.5703125" style="25" customWidth="1"/>
    <col min="5" max="5" width="11.7109375" style="25" customWidth="1"/>
    <col min="6" max="6" width="11.85546875" style="25" customWidth="1"/>
    <col min="7" max="7" width="10.140625" style="25" customWidth="1"/>
    <col min="8" max="8" width="12" style="25" customWidth="1"/>
    <col min="9" max="9" width="11.140625" style="25" customWidth="1"/>
    <col min="10" max="10" width="11.5703125" style="25" customWidth="1"/>
    <col min="11" max="11" width="11.85546875" style="25" bestFit="1" customWidth="1"/>
    <col min="12" max="12" width="11.85546875" style="75" customWidth="1"/>
    <col min="13" max="14" width="1.140625" style="25" customWidth="1"/>
    <col min="15" max="15" width="9.140625" style="25"/>
    <col min="16" max="16" width="31.7109375" style="25" customWidth="1"/>
    <col min="17" max="17" width="26.7109375" style="25" customWidth="1"/>
    <col min="18" max="16384" width="9.140625" style="25"/>
  </cols>
  <sheetData>
    <row r="1" spans="1:19" s="105" customFormat="1" ht="30" customHeight="1">
      <c r="A1" s="419"/>
      <c r="B1" s="420" t="s">
        <v>165</v>
      </c>
      <c r="C1" s="419"/>
      <c r="D1" s="419"/>
      <c r="E1" s="419"/>
      <c r="F1" s="419"/>
      <c r="G1" s="419"/>
      <c r="H1" s="419"/>
      <c r="I1" s="419"/>
      <c r="J1" s="419"/>
      <c r="K1" s="419"/>
      <c r="L1" s="419"/>
      <c r="M1" s="419"/>
      <c r="N1" s="419"/>
      <c r="O1" s="100" t="s">
        <v>0</v>
      </c>
      <c r="P1" s="398"/>
      <c r="Q1" s="398"/>
      <c r="R1" s="398"/>
      <c r="S1" s="398"/>
    </row>
    <row r="2" spans="1:19" ht="27">
      <c r="A2" s="4" t="s">
        <v>37</v>
      </c>
      <c r="B2" s="4"/>
      <c r="C2" s="4"/>
      <c r="D2" s="398"/>
      <c r="E2" s="398"/>
      <c r="F2" s="398"/>
      <c r="G2" s="398"/>
      <c r="H2" s="398"/>
      <c r="I2" s="398"/>
      <c r="J2" s="398"/>
      <c r="K2" s="398"/>
      <c r="L2" s="398"/>
      <c r="M2" s="398"/>
      <c r="N2" s="398"/>
      <c r="O2" s="398"/>
      <c r="P2" s="398"/>
      <c r="Q2" s="398"/>
      <c r="R2" s="398"/>
      <c r="S2" s="398"/>
    </row>
    <row r="3" spans="1:19" ht="52.5" customHeight="1">
      <c r="A3" s="398"/>
      <c r="B3" s="800" t="s">
        <v>727</v>
      </c>
      <c r="C3" s="800"/>
      <c r="D3" s="800"/>
      <c r="E3" s="800"/>
      <c r="F3" s="800"/>
      <c r="G3" s="800"/>
      <c r="H3" s="800"/>
      <c r="I3" s="800"/>
      <c r="J3" s="800"/>
      <c r="K3" s="800"/>
      <c r="L3" s="800"/>
      <c r="M3" s="800"/>
      <c r="N3" s="398"/>
      <c r="O3" s="398"/>
      <c r="P3" s="398"/>
      <c r="Q3" s="398"/>
      <c r="R3" s="398"/>
      <c r="S3" s="398"/>
    </row>
    <row r="4" spans="1:19" ht="22.5">
      <c r="A4" s="29" t="s">
        <v>728</v>
      </c>
      <c r="B4" s="29"/>
      <c r="C4" s="29"/>
      <c r="D4" s="398"/>
      <c r="E4" s="398"/>
      <c r="F4" s="398"/>
      <c r="G4" s="398"/>
      <c r="H4" s="398"/>
      <c r="I4" s="398"/>
      <c r="J4" s="398"/>
      <c r="K4" s="398"/>
      <c r="L4" s="398"/>
      <c r="M4" s="398"/>
      <c r="N4" s="398"/>
      <c r="O4" s="398"/>
      <c r="P4" s="398"/>
      <c r="Q4" s="398"/>
      <c r="R4" s="398"/>
      <c r="S4" s="398"/>
    </row>
    <row r="5" spans="1:19" ht="36" customHeight="1">
      <c r="A5" s="53"/>
      <c r="B5" s="703"/>
      <c r="C5" s="716" t="s">
        <v>729</v>
      </c>
      <c r="D5" s="797"/>
      <c r="E5" s="797"/>
      <c r="F5" s="797"/>
      <c r="G5" s="797"/>
      <c r="H5" s="797"/>
      <c r="I5" s="797"/>
      <c r="J5" s="797"/>
      <c r="K5" s="797"/>
      <c r="L5" s="797"/>
      <c r="M5" s="703"/>
      <c r="N5" s="398"/>
      <c r="O5" s="398"/>
      <c r="P5" s="398"/>
      <c r="Q5" s="398"/>
      <c r="R5" s="398"/>
      <c r="S5" s="398"/>
    </row>
    <row r="6" spans="1:19">
      <c r="A6" s="53"/>
      <c r="B6" s="53"/>
      <c r="C6" s="53"/>
      <c r="D6" s="53"/>
      <c r="E6" s="53"/>
      <c r="F6" s="53"/>
      <c r="G6" s="53"/>
      <c r="H6" s="53"/>
      <c r="I6" s="53"/>
      <c r="J6" s="53"/>
      <c r="K6" s="53"/>
      <c r="L6" s="53"/>
      <c r="M6" s="53"/>
      <c r="N6" s="398"/>
      <c r="O6" s="398"/>
      <c r="P6" s="398"/>
      <c r="Q6" s="398"/>
      <c r="R6" s="398"/>
      <c r="S6" s="398"/>
    </row>
    <row r="7" spans="1:19" ht="25.5" customHeight="1">
      <c r="A7" s="398"/>
      <c r="B7" s="53"/>
      <c r="C7" s="53"/>
      <c r="D7" s="53"/>
      <c r="E7" s="680" t="s">
        <v>730</v>
      </c>
      <c r="F7" s="835" t="s">
        <v>731</v>
      </c>
      <c r="G7" s="783"/>
      <c r="H7" s="53"/>
      <c r="I7" s="53"/>
      <c r="J7" s="53"/>
      <c r="K7" s="53"/>
      <c r="L7" s="53"/>
      <c r="M7" s="53"/>
      <c r="N7" s="398"/>
      <c r="O7" s="398"/>
      <c r="P7" s="398"/>
      <c r="Q7" s="398"/>
      <c r="R7" s="398"/>
      <c r="S7" s="398"/>
    </row>
    <row r="8" spans="1:19">
      <c r="A8" s="398"/>
      <c r="B8" s="53"/>
      <c r="C8" s="53"/>
      <c r="D8" s="226" t="s">
        <v>18</v>
      </c>
      <c r="E8" s="562">
        <f>G70</f>
        <v>149.2571270096926</v>
      </c>
      <c r="F8" s="865">
        <f>E8*PCUsers/1000</f>
        <v>410.78440548007399</v>
      </c>
      <c r="G8" s="866"/>
      <c r="H8" s="53"/>
      <c r="I8" s="53"/>
      <c r="J8" s="77"/>
      <c r="K8" s="53"/>
      <c r="L8" s="53"/>
      <c r="M8" s="53"/>
      <c r="N8" s="398"/>
      <c r="O8" s="37" t="s">
        <v>232</v>
      </c>
      <c r="P8" s="270"/>
      <c r="Q8" s="398"/>
      <c r="R8" s="398"/>
      <c r="S8" s="398"/>
    </row>
    <row r="9" spans="1:19">
      <c r="A9" s="398"/>
      <c r="B9" s="53"/>
      <c r="C9" s="53"/>
      <c r="D9" s="226" t="s">
        <v>732</v>
      </c>
      <c r="E9" s="566">
        <f>G81</f>
        <v>1057.058692141946</v>
      </c>
      <c r="F9" s="866">
        <f>E9*PCUsers/1000</f>
        <v>2909.2294291640483</v>
      </c>
      <c r="G9" s="866"/>
      <c r="H9" s="53"/>
      <c r="I9" s="53"/>
      <c r="J9" s="77"/>
      <c r="K9" s="53"/>
      <c r="L9" s="53"/>
      <c r="M9" s="53"/>
      <c r="N9" s="398"/>
      <c r="O9" s="270" t="s">
        <v>10</v>
      </c>
      <c r="P9" s="394" t="s">
        <v>733</v>
      </c>
      <c r="Q9" s="398"/>
      <c r="R9" s="398"/>
      <c r="S9" s="398"/>
    </row>
    <row r="10" spans="1:19">
      <c r="A10" s="398"/>
      <c r="B10" s="53"/>
      <c r="C10" s="53"/>
      <c r="D10" s="226" t="s">
        <v>734</v>
      </c>
      <c r="E10" s="566">
        <f>E9-E8</f>
        <v>907.80156513225347</v>
      </c>
      <c r="F10" s="866">
        <f>E10*PCUsers/1000</f>
        <v>2498.4450236839743</v>
      </c>
      <c r="G10" s="866"/>
      <c r="H10" s="53"/>
      <c r="I10" s="53"/>
      <c r="J10" s="77"/>
      <c r="K10" s="53"/>
      <c r="L10" s="53"/>
      <c r="M10" s="53"/>
      <c r="N10" s="398"/>
      <c r="O10" s="270" t="s">
        <v>235</v>
      </c>
      <c r="P10" s="392" t="s">
        <v>735</v>
      </c>
      <c r="Q10" s="398"/>
      <c r="R10" s="398"/>
      <c r="S10" s="398"/>
    </row>
    <row r="11" spans="1:19">
      <c r="A11" s="398"/>
      <c r="B11" s="53"/>
      <c r="C11" s="53"/>
      <c r="D11" s="226" t="s">
        <v>736</v>
      </c>
      <c r="E11" s="566">
        <f>J146</f>
        <v>702.67821899384023</v>
      </c>
      <c r="F11" s="866">
        <f>E11*PCUsers/1000</f>
        <v>1933.9060064745674</v>
      </c>
      <c r="G11" s="866"/>
      <c r="H11" s="53"/>
      <c r="I11" s="53"/>
      <c r="J11" s="53"/>
      <c r="K11" s="53"/>
      <c r="L11" s="53"/>
      <c r="M11" s="53"/>
      <c r="N11" s="398"/>
      <c r="O11" s="270" t="s">
        <v>238</v>
      </c>
      <c r="P11" s="113"/>
      <c r="Q11" s="398"/>
      <c r="R11" s="398"/>
      <c r="S11" s="398"/>
    </row>
    <row r="12" spans="1:19">
      <c r="A12" s="398"/>
      <c r="B12" s="53"/>
      <c r="C12" s="53"/>
      <c r="D12" s="226" t="s">
        <v>36</v>
      </c>
      <c r="E12" s="798">
        <f>E10/E8</f>
        <v>6.0821321120116547</v>
      </c>
      <c r="F12" s="743"/>
      <c r="G12" s="743"/>
      <c r="H12" s="53"/>
      <c r="I12" s="53"/>
      <c r="J12" s="53"/>
      <c r="K12" s="53"/>
      <c r="L12" s="53"/>
      <c r="M12" s="53"/>
      <c r="N12" s="398"/>
      <c r="O12" s="77" t="s">
        <v>239</v>
      </c>
      <c r="P12" s="181"/>
      <c r="Q12" s="398"/>
      <c r="R12" s="398"/>
      <c r="S12" s="398"/>
    </row>
    <row r="13" spans="1:19">
      <c r="A13" s="398"/>
      <c r="B13" s="53"/>
      <c r="C13" s="53"/>
      <c r="D13" s="226" t="s">
        <v>737</v>
      </c>
      <c r="E13" s="798">
        <f>IRR(J134:J144)</f>
        <v>2.1557084648617204</v>
      </c>
      <c r="F13" s="743"/>
      <c r="G13" s="743"/>
      <c r="H13" s="53"/>
      <c r="I13" s="53"/>
      <c r="J13" s="53"/>
      <c r="K13" s="53"/>
      <c r="L13" s="53"/>
      <c r="M13" s="53"/>
      <c r="N13" s="398"/>
      <c r="O13" s="398"/>
      <c r="P13" s="398"/>
      <c r="Q13" s="398"/>
      <c r="R13" s="398"/>
      <c r="S13" s="398"/>
    </row>
    <row r="14" spans="1:19">
      <c r="A14" s="398"/>
      <c r="B14" s="53"/>
      <c r="C14" s="53"/>
      <c r="D14" s="226" t="s">
        <v>738</v>
      </c>
      <c r="E14" s="799">
        <f>E106</f>
        <v>5.4856325121631979</v>
      </c>
      <c r="F14" s="751"/>
      <c r="G14" s="751"/>
      <c r="H14" s="53"/>
      <c r="I14" s="53"/>
      <c r="J14" s="53"/>
      <c r="K14" s="53"/>
      <c r="L14" s="53"/>
      <c r="M14" s="53"/>
      <c r="N14" s="398"/>
      <c r="O14" s="77" t="s">
        <v>739</v>
      </c>
      <c r="P14" s="398"/>
      <c r="Q14" s="398"/>
      <c r="R14" s="398"/>
      <c r="S14" s="398"/>
    </row>
    <row r="15" spans="1:19">
      <c r="A15" s="398"/>
      <c r="B15" s="53"/>
      <c r="C15" s="53"/>
      <c r="D15" s="226" t="s">
        <v>740</v>
      </c>
      <c r="E15" s="799">
        <f>PCUsers</f>
        <v>2752.1929016722806</v>
      </c>
      <c r="F15" s="751"/>
      <c r="G15" s="751"/>
      <c r="H15" s="53"/>
      <c r="I15" s="53"/>
      <c r="J15" s="53"/>
      <c r="K15" s="53"/>
      <c r="L15" s="53"/>
      <c r="M15" s="53"/>
      <c r="N15" s="398"/>
      <c r="O15" s="398"/>
      <c r="P15" s="181" t="str">
        <f>D12&amp;":                 "&amp;TEXT(E12,"0%")&amp;CHAR(10)&amp;CHAR(10)&amp;D14&amp;":  "&amp;TEXT(E12,"0")</f>
        <v>ROI:                 608%
Payback Period (Months)**:  6</v>
      </c>
      <c r="Q15" s="398"/>
      <c r="R15" s="398"/>
      <c r="S15" s="398"/>
    </row>
    <row r="16" spans="1:19">
      <c r="A16" s="398"/>
      <c r="B16" s="53"/>
      <c r="C16" s="53"/>
      <c r="D16" s="211" t="s">
        <v>741</v>
      </c>
      <c r="E16" s="53"/>
      <c r="F16" s="53"/>
      <c r="G16" s="53"/>
      <c r="H16" s="53"/>
      <c r="I16" s="53"/>
      <c r="J16" s="53"/>
      <c r="K16" s="53"/>
      <c r="L16" s="53"/>
      <c r="M16" s="53"/>
      <c r="N16" s="398"/>
      <c r="O16" s="398"/>
      <c r="P16" s="398"/>
      <c r="Q16" s="398"/>
      <c r="R16" s="398"/>
      <c r="S16" s="398"/>
    </row>
    <row r="17" spans="1:19" s="32" customFormat="1">
      <c r="A17" s="398"/>
      <c r="B17" s="53"/>
      <c r="C17" s="53"/>
      <c r="D17" s="148" t="s">
        <v>742</v>
      </c>
      <c r="E17" s="53"/>
      <c r="F17" s="53"/>
      <c r="G17" s="53"/>
      <c r="H17" s="53"/>
      <c r="I17" s="53"/>
      <c r="J17" s="53"/>
      <c r="K17" s="53"/>
      <c r="L17" s="53"/>
      <c r="M17" s="53"/>
      <c r="N17" s="398"/>
      <c r="O17" s="270" t="s">
        <v>743</v>
      </c>
      <c r="P17" s="407">
        <f ca="1">NOW()</f>
        <v>43264.774788194445</v>
      </c>
      <c r="Q17" s="398"/>
      <c r="R17" s="398"/>
      <c r="S17" s="398"/>
    </row>
    <row r="18" spans="1:19">
      <c r="A18" s="398"/>
      <c r="B18" s="53"/>
      <c r="C18" s="53"/>
      <c r="D18" s="44"/>
      <c r="E18" s="53"/>
      <c r="F18" s="53"/>
      <c r="G18" s="53"/>
      <c r="H18" s="53"/>
      <c r="I18" s="53"/>
      <c r="J18" s="53"/>
      <c r="K18" s="53"/>
      <c r="L18" s="53"/>
      <c r="M18" s="53"/>
      <c r="N18" s="398"/>
      <c r="O18" s="398"/>
      <c r="P18" s="398"/>
      <c r="Q18" s="398"/>
      <c r="R18" s="398"/>
      <c r="S18" s="398"/>
    </row>
    <row r="19" spans="1:19" s="32" customFormat="1" ht="12.75" customHeight="1">
      <c r="A19" s="398"/>
      <c r="B19" s="53"/>
      <c r="C19" s="53"/>
      <c r="D19" s="53"/>
      <c r="E19" s="801" t="s">
        <v>744</v>
      </c>
      <c r="F19" s="802"/>
      <c r="G19" s="802"/>
      <c r="H19" s="803" t="s">
        <v>745</v>
      </c>
      <c r="I19" s="804"/>
      <c r="J19" s="805"/>
      <c r="K19" s="53"/>
      <c r="L19" s="53"/>
      <c r="M19" s="53"/>
      <c r="N19" s="398"/>
      <c r="O19" s="398"/>
      <c r="P19" s="398"/>
      <c r="Q19" s="398"/>
      <c r="R19" s="398"/>
      <c r="S19" s="398"/>
    </row>
    <row r="20" spans="1:19" s="32" customFormat="1" ht="25.5">
      <c r="A20" s="398"/>
      <c r="B20" s="53"/>
      <c r="C20" s="672"/>
      <c r="D20" s="53"/>
      <c r="E20" s="680" t="s">
        <v>746</v>
      </c>
      <c r="F20" s="680" t="s">
        <v>747</v>
      </c>
      <c r="G20" s="671" t="s">
        <v>494</v>
      </c>
      <c r="H20" s="692" t="str">
        <f>$E$20</f>
        <v>One-Time</v>
      </c>
      <c r="I20" s="671" t="str">
        <f>$F$20</f>
        <v>Annual Recurring</v>
      </c>
      <c r="J20" s="671" t="str">
        <f>$G$20</f>
        <v>Project Total</v>
      </c>
      <c r="K20" s="53"/>
      <c r="L20" s="53"/>
      <c r="M20" s="53"/>
      <c r="N20" s="398"/>
      <c r="O20" s="398"/>
      <c r="P20" s="398"/>
      <c r="Q20" s="398"/>
      <c r="R20" s="398"/>
      <c r="S20" s="398"/>
    </row>
    <row r="21" spans="1:19">
      <c r="A21" s="398"/>
      <c r="B21" s="53"/>
      <c r="C21" s="53"/>
      <c r="D21" s="695" t="s">
        <v>18</v>
      </c>
      <c r="E21" s="592">
        <f>SUM(E155:E156,E159:E160,E163:E166,E169:E170)</f>
        <v>94.356345249593815</v>
      </c>
      <c r="F21" s="593">
        <f>SUM(F155:F156,F159:F160,F163:F166,F169:F170)</f>
        <v>10.980156352019755</v>
      </c>
      <c r="G21" s="593">
        <f>E21+F21*ProjectTtlMultCosts</f>
        <v>149.25712700969257</v>
      </c>
      <c r="H21" s="539">
        <f>SUM(H155:H156,H159:H160,H163:H166,H169:H170)</f>
        <v>259.68686362367117</v>
      </c>
      <c r="I21" s="539">
        <f>SUM(I155:I156,I159:I160,I163:I166,I169:I170)</f>
        <v>30.219508371280575</v>
      </c>
      <c r="J21" s="539">
        <f>H21+I21*ProjectTtlMultCosts</f>
        <v>410.78440548007399</v>
      </c>
      <c r="K21" s="53"/>
      <c r="L21" s="53"/>
      <c r="M21" s="53"/>
      <c r="N21" s="398"/>
      <c r="O21" s="398"/>
      <c r="P21" s="398"/>
      <c r="Q21" s="398"/>
      <c r="R21" s="398"/>
      <c r="S21" s="398"/>
    </row>
    <row r="22" spans="1:19">
      <c r="A22" s="398"/>
      <c r="B22" s="53"/>
      <c r="C22" s="53"/>
      <c r="D22" s="696" t="s">
        <v>732</v>
      </c>
      <c r="E22" s="573">
        <f>SUM(E243:E247,E254:E259,E262:E264,E298:E302,E305:E308,E311:E316,E346:E352)</f>
        <v>7.4700000000000006</v>
      </c>
      <c r="F22" s="539">
        <f>SUM(F243:F247,F254:F259,F262:F264,F298:F302,F305:F308,F311:F316,F346:F352)</f>
        <v>209.91773842838921</v>
      </c>
      <c r="G22" s="539">
        <f>E22+F22*ProjectTtlMultBen</f>
        <v>1057.058692141946</v>
      </c>
      <c r="H22" s="539">
        <f>SUM(H243:H247,H254:H259,H262:H264,H298:H302,H305:H308,H311:H316,H346:H352)</f>
        <v>20.558880975491938</v>
      </c>
      <c r="I22" s="539">
        <f>SUM(I243:I247,I254:I259,I262:I264,I298:I302,I305:I308,I311:I316,I346:I352)</f>
        <v>577.7341096377113</v>
      </c>
      <c r="J22" s="539">
        <f>H22+I22*ProjectTtlMultBen</f>
        <v>2909.2294291640483</v>
      </c>
      <c r="K22" s="594"/>
      <c r="L22" s="594"/>
      <c r="M22" s="594"/>
      <c r="N22" s="398"/>
      <c r="O22" s="398"/>
      <c r="P22" s="398"/>
      <c r="Q22" s="398"/>
      <c r="R22" s="398"/>
      <c r="S22" s="398"/>
    </row>
    <row r="23" spans="1:19" s="32" customFormat="1">
      <c r="A23" s="398"/>
      <c r="B23" s="53"/>
      <c r="C23" s="53"/>
      <c r="D23" s="44"/>
      <c r="E23" s="53"/>
      <c r="F23" s="53"/>
      <c r="G23" s="53"/>
      <c r="H23" s="53"/>
      <c r="I23" s="53"/>
      <c r="J23" s="53"/>
      <c r="K23" s="53"/>
      <c r="L23" s="53"/>
      <c r="M23" s="53"/>
      <c r="N23" s="398"/>
      <c r="O23" s="398"/>
      <c r="P23" s="398"/>
      <c r="Q23" s="398"/>
      <c r="R23" s="398"/>
      <c r="S23" s="398"/>
    </row>
    <row r="24" spans="1:19" s="32" customFormat="1">
      <c r="A24" s="398"/>
      <c r="B24" s="53"/>
      <c r="C24" s="53"/>
      <c r="D24" s="44"/>
      <c r="E24" s="53"/>
      <c r="F24" s="53"/>
      <c r="G24" s="53"/>
      <c r="H24" s="53"/>
      <c r="I24" s="53"/>
      <c r="J24" s="53"/>
      <c r="K24" s="53"/>
      <c r="L24" s="53"/>
      <c r="M24" s="53"/>
      <c r="N24" s="398"/>
      <c r="O24" s="398"/>
      <c r="P24" s="398"/>
      <c r="Q24" s="398"/>
      <c r="R24" s="398"/>
      <c r="S24" s="398"/>
    </row>
    <row r="25" spans="1:19" s="32" customFormat="1">
      <c r="A25" s="398"/>
      <c r="B25" s="53"/>
      <c r="C25" s="53"/>
      <c r="D25" s="44"/>
      <c r="E25" s="53"/>
      <c r="F25" s="53"/>
      <c r="G25" s="53"/>
      <c r="H25" s="53"/>
      <c r="I25" s="53"/>
      <c r="J25" s="53"/>
      <c r="K25" s="53"/>
      <c r="L25" s="53"/>
      <c r="M25" s="53"/>
      <c r="N25" s="398"/>
      <c r="O25" s="37" t="s">
        <v>232</v>
      </c>
      <c r="P25" s="270" t="s">
        <v>748</v>
      </c>
      <c r="Q25" s="270" t="s">
        <v>445</v>
      </c>
      <c r="R25" s="398"/>
      <c r="S25" s="398"/>
    </row>
    <row r="26" spans="1:19" s="32" customFormat="1">
      <c r="A26" s="398"/>
      <c r="B26" s="53"/>
      <c r="C26" s="53"/>
      <c r="D26" s="44"/>
      <c r="E26" s="53"/>
      <c r="F26" s="53"/>
      <c r="G26" s="53"/>
      <c r="H26" s="53"/>
      <c r="I26" s="53"/>
      <c r="J26" s="53"/>
      <c r="K26" s="53"/>
      <c r="L26" s="53"/>
      <c r="M26" s="53"/>
      <c r="N26" s="398"/>
      <c r="O26" s="270" t="s">
        <v>10</v>
      </c>
      <c r="P26" s="395" t="s">
        <v>749</v>
      </c>
      <c r="Q26" s="394" t="s">
        <v>750</v>
      </c>
      <c r="R26" s="398"/>
      <c r="S26" s="398"/>
    </row>
    <row r="27" spans="1:19" s="32" customFormat="1">
      <c r="A27" s="398"/>
      <c r="B27" s="53"/>
      <c r="C27" s="53"/>
      <c r="D27" s="44"/>
      <c r="E27" s="53"/>
      <c r="F27" s="53"/>
      <c r="G27" s="53"/>
      <c r="H27" s="53"/>
      <c r="I27" s="53"/>
      <c r="J27" s="53"/>
      <c r="K27" s="53"/>
      <c r="L27" s="53"/>
      <c r="M27" s="53"/>
      <c r="N27" s="398"/>
      <c r="O27" s="270" t="s">
        <v>235</v>
      </c>
      <c r="P27" s="393" t="s">
        <v>751</v>
      </c>
      <c r="Q27" s="252" t="s">
        <v>752</v>
      </c>
      <c r="R27" s="398"/>
      <c r="S27" s="398"/>
    </row>
    <row r="28" spans="1:19" s="32" customFormat="1">
      <c r="A28" s="398"/>
      <c r="B28" s="53"/>
      <c r="C28" s="53"/>
      <c r="D28" s="44"/>
      <c r="E28" s="53"/>
      <c r="F28" s="53"/>
      <c r="G28" s="53"/>
      <c r="H28" s="53"/>
      <c r="I28" s="53"/>
      <c r="J28" s="53"/>
      <c r="K28" s="53"/>
      <c r="L28" s="53"/>
      <c r="M28" s="53"/>
      <c r="N28" s="398"/>
      <c r="O28" s="270" t="s">
        <v>238</v>
      </c>
      <c r="P28" s="113"/>
      <c r="Q28" s="113"/>
      <c r="R28" s="398"/>
      <c r="S28" s="398"/>
    </row>
    <row r="29" spans="1:19" s="32" customFormat="1">
      <c r="A29" s="398"/>
      <c r="B29" s="53"/>
      <c r="C29" s="53"/>
      <c r="D29" s="44"/>
      <c r="E29" s="53"/>
      <c r="F29" s="53"/>
      <c r="G29" s="53"/>
      <c r="H29" s="53"/>
      <c r="I29" s="53"/>
      <c r="J29" s="53"/>
      <c r="K29" s="53"/>
      <c r="L29" s="53"/>
      <c r="M29" s="53"/>
      <c r="N29" s="398"/>
      <c r="O29" s="77" t="s">
        <v>239</v>
      </c>
      <c r="P29" s="181" t="s">
        <v>753</v>
      </c>
      <c r="Q29" s="181" t="s">
        <v>754</v>
      </c>
      <c r="R29" s="398"/>
      <c r="S29" s="398"/>
    </row>
    <row r="30" spans="1:19" s="32" customFormat="1">
      <c r="A30" s="398"/>
      <c r="B30" s="53"/>
      <c r="C30" s="53"/>
      <c r="D30" s="44"/>
      <c r="E30" s="53"/>
      <c r="F30" s="53"/>
      <c r="G30" s="53"/>
      <c r="H30" s="53"/>
      <c r="I30" s="53"/>
      <c r="J30" s="53"/>
      <c r="K30" s="53"/>
      <c r="L30" s="53"/>
      <c r="M30" s="53"/>
      <c r="N30" s="398"/>
      <c r="O30" s="398"/>
      <c r="P30" s="398"/>
      <c r="Q30" s="398"/>
      <c r="R30" s="398"/>
      <c r="S30" s="398"/>
    </row>
    <row r="31" spans="1:19" s="32" customFormat="1">
      <c r="A31" s="398"/>
      <c r="B31" s="53"/>
      <c r="C31" s="53"/>
      <c r="D31" s="44"/>
      <c r="E31" s="53"/>
      <c r="F31" s="53"/>
      <c r="G31" s="53"/>
      <c r="H31" s="53"/>
      <c r="I31" s="53"/>
      <c r="J31" s="53"/>
      <c r="K31" s="53"/>
      <c r="L31" s="53"/>
      <c r="M31" s="53"/>
      <c r="N31" s="398"/>
      <c r="O31" s="398"/>
      <c r="P31" s="398"/>
      <c r="Q31" s="398"/>
      <c r="R31" s="398"/>
      <c r="S31" s="398"/>
    </row>
    <row r="32" spans="1:19" s="32" customFormat="1">
      <c r="A32" s="398"/>
      <c r="B32" s="53"/>
      <c r="C32" s="53"/>
      <c r="D32" s="44"/>
      <c r="E32" s="53"/>
      <c r="F32" s="53"/>
      <c r="G32" s="53"/>
      <c r="H32" s="53"/>
      <c r="I32" s="53"/>
      <c r="J32" s="53"/>
      <c r="K32" s="53"/>
      <c r="L32" s="53"/>
      <c r="M32" s="53"/>
      <c r="N32" s="398"/>
      <c r="O32" s="398"/>
      <c r="P32" s="398"/>
      <c r="Q32" s="398"/>
      <c r="R32" s="398"/>
      <c r="S32" s="398"/>
    </row>
    <row r="33" spans="1:19" s="32" customFormat="1">
      <c r="A33" s="398"/>
      <c r="B33" s="53"/>
      <c r="C33" s="53"/>
      <c r="D33" s="44"/>
      <c r="E33" s="53"/>
      <c r="F33" s="53"/>
      <c r="G33" s="53"/>
      <c r="H33" s="53"/>
      <c r="I33" s="53"/>
      <c r="J33" s="53"/>
      <c r="K33" s="53"/>
      <c r="L33" s="53"/>
      <c r="M33" s="53"/>
      <c r="N33" s="398"/>
      <c r="O33" s="398"/>
      <c r="P33" s="398"/>
      <c r="Q33" s="398"/>
      <c r="R33" s="398"/>
      <c r="S33" s="398"/>
    </row>
    <row r="34" spans="1:19" s="32" customFormat="1">
      <c r="A34" s="398"/>
      <c r="B34" s="53"/>
      <c r="C34" s="53"/>
      <c r="D34" s="44"/>
      <c r="E34" s="53"/>
      <c r="F34" s="53"/>
      <c r="G34" s="53"/>
      <c r="H34" s="53"/>
      <c r="I34" s="53"/>
      <c r="J34" s="53"/>
      <c r="K34" s="53"/>
      <c r="L34" s="53"/>
      <c r="M34" s="53"/>
      <c r="N34" s="398"/>
      <c r="O34" s="398"/>
      <c r="P34" s="398"/>
      <c r="Q34" s="398"/>
      <c r="R34" s="398"/>
      <c r="S34" s="398"/>
    </row>
    <row r="35" spans="1:19" s="32" customFormat="1">
      <c r="A35" s="398"/>
      <c r="B35" s="53"/>
      <c r="C35" s="53"/>
      <c r="D35" s="44"/>
      <c r="E35" s="53"/>
      <c r="F35" s="53"/>
      <c r="G35" s="53"/>
      <c r="H35" s="53"/>
      <c r="I35" s="53"/>
      <c r="J35" s="53"/>
      <c r="K35" s="53"/>
      <c r="L35" s="53"/>
      <c r="M35" s="53"/>
      <c r="N35" s="398"/>
      <c r="O35" s="398"/>
      <c r="P35" s="398"/>
      <c r="Q35" s="398"/>
      <c r="R35" s="398"/>
      <c r="S35" s="398"/>
    </row>
    <row r="36" spans="1:19" s="32" customFormat="1">
      <c r="A36" s="398"/>
      <c r="B36" s="53"/>
      <c r="C36" s="53"/>
      <c r="D36" s="44"/>
      <c r="E36" s="53"/>
      <c r="F36" s="53"/>
      <c r="G36" s="53"/>
      <c r="H36" s="53"/>
      <c r="I36" s="53"/>
      <c r="J36" s="53"/>
      <c r="K36" s="53"/>
      <c r="L36" s="53"/>
      <c r="M36" s="53"/>
      <c r="N36" s="398"/>
      <c r="O36" s="398"/>
      <c r="P36" s="398"/>
      <c r="Q36" s="398"/>
      <c r="R36" s="398"/>
      <c r="S36" s="398"/>
    </row>
    <row r="37" spans="1:19" s="32" customFormat="1">
      <c r="A37" s="398"/>
      <c r="B37" s="53"/>
      <c r="C37" s="53"/>
      <c r="D37" s="44"/>
      <c r="E37" s="53"/>
      <c r="F37" s="53"/>
      <c r="G37" s="53"/>
      <c r="H37" s="53"/>
      <c r="I37" s="53"/>
      <c r="J37" s="53"/>
      <c r="K37" s="53"/>
      <c r="L37" s="53"/>
      <c r="M37" s="53"/>
      <c r="N37" s="398"/>
      <c r="O37" s="398"/>
      <c r="P37" s="398"/>
      <c r="Q37" s="398"/>
      <c r="R37" s="398"/>
      <c r="S37" s="398"/>
    </row>
    <row r="38" spans="1:19" s="32" customFormat="1">
      <c r="A38" s="398"/>
      <c r="B38" s="53"/>
      <c r="C38" s="53"/>
      <c r="D38" s="44"/>
      <c r="E38" s="53"/>
      <c r="F38" s="53"/>
      <c r="G38" s="53"/>
      <c r="H38" s="53"/>
      <c r="I38" s="53"/>
      <c r="J38" s="53"/>
      <c r="K38" s="53"/>
      <c r="L38" s="53"/>
      <c r="M38" s="53"/>
      <c r="N38" s="398"/>
      <c r="O38" s="398"/>
      <c r="P38" s="398"/>
      <c r="Q38" s="398"/>
      <c r="R38" s="398"/>
      <c r="S38" s="398"/>
    </row>
    <row r="39" spans="1:19" s="32" customFormat="1">
      <c r="A39" s="398"/>
      <c r="B39" s="53"/>
      <c r="C39" s="53"/>
      <c r="D39" s="44"/>
      <c r="E39" s="53"/>
      <c r="F39" s="53"/>
      <c r="G39" s="53"/>
      <c r="H39" s="53"/>
      <c r="I39" s="53"/>
      <c r="J39" s="53"/>
      <c r="K39" s="53"/>
      <c r="L39" s="53"/>
      <c r="M39" s="53"/>
      <c r="N39" s="398"/>
      <c r="O39" s="398"/>
      <c r="P39" s="398"/>
      <c r="Q39" s="398"/>
      <c r="R39" s="398"/>
      <c r="S39" s="398"/>
    </row>
    <row r="40" spans="1:19" s="32" customFormat="1">
      <c r="A40" s="398"/>
      <c r="B40" s="53"/>
      <c r="C40" s="53"/>
      <c r="D40" s="44"/>
      <c r="E40" s="53"/>
      <c r="F40" s="53"/>
      <c r="G40" s="53"/>
      <c r="H40" s="53"/>
      <c r="I40" s="53"/>
      <c r="J40" s="53"/>
      <c r="K40" s="53"/>
      <c r="L40" s="53"/>
      <c r="M40" s="53"/>
      <c r="N40" s="398"/>
      <c r="O40" s="398"/>
      <c r="P40" s="398"/>
      <c r="Q40" s="398"/>
      <c r="R40" s="398"/>
      <c r="S40" s="398"/>
    </row>
    <row r="41" spans="1:19" s="32" customFormat="1">
      <c r="A41" s="398"/>
      <c r="B41" s="53"/>
      <c r="C41" s="53"/>
      <c r="D41" s="44"/>
      <c r="E41" s="53"/>
      <c r="F41" s="53"/>
      <c r="G41" s="53"/>
      <c r="H41" s="53"/>
      <c r="I41" s="53"/>
      <c r="J41" s="53"/>
      <c r="K41" s="53"/>
      <c r="L41" s="53"/>
      <c r="M41" s="53"/>
      <c r="N41" s="398"/>
      <c r="O41" s="398"/>
      <c r="P41" s="398"/>
      <c r="Q41" s="398"/>
      <c r="R41" s="398"/>
      <c r="S41" s="398"/>
    </row>
    <row r="42" spans="1:19" s="32" customFormat="1">
      <c r="A42" s="398"/>
      <c r="B42" s="53"/>
      <c r="C42" s="53"/>
      <c r="D42" s="44"/>
      <c r="E42" s="53"/>
      <c r="F42" s="53"/>
      <c r="G42" s="53"/>
      <c r="H42" s="53"/>
      <c r="I42" s="53"/>
      <c r="J42" s="53"/>
      <c r="K42" s="53"/>
      <c r="L42" s="53"/>
      <c r="M42" s="53"/>
      <c r="N42" s="398"/>
      <c r="O42" s="398"/>
      <c r="P42" s="398"/>
      <c r="Q42" s="398"/>
      <c r="R42" s="398"/>
      <c r="S42" s="398"/>
    </row>
    <row r="43" spans="1:19" s="32" customFormat="1">
      <c r="A43" s="398"/>
      <c r="B43" s="53"/>
      <c r="C43" s="53"/>
      <c r="D43" s="44"/>
      <c r="E43" s="53"/>
      <c r="F43" s="53"/>
      <c r="G43" s="53"/>
      <c r="H43" s="53"/>
      <c r="I43" s="53"/>
      <c r="J43" s="53"/>
      <c r="K43" s="53"/>
      <c r="L43" s="53"/>
      <c r="M43" s="53"/>
      <c r="N43" s="398"/>
      <c r="O43" s="398"/>
      <c r="P43" s="398"/>
      <c r="Q43" s="398"/>
      <c r="R43" s="398"/>
      <c r="S43" s="398"/>
    </row>
    <row r="44" spans="1:19" s="32" customFormat="1" ht="6.75" customHeight="1">
      <c r="A44" s="398"/>
      <c r="B44" s="398"/>
      <c r="C44" s="398"/>
      <c r="D44" s="37"/>
      <c r="E44" s="398"/>
      <c r="F44" s="398"/>
      <c r="G44" s="398"/>
      <c r="H44" s="398"/>
      <c r="I44" s="398"/>
      <c r="J44" s="398"/>
      <c r="K44" s="398"/>
      <c r="L44" s="398"/>
      <c r="M44" s="398"/>
      <c r="N44" s="398"/>
      <c r="O44" s="398"/>
      <c r="P44" s="398"/>
      <c r="Q44" s="398"/>
      <c r="R44" s="398"/>
      <c r="S44" s="398"/>
    </row>
    <row r="45" spans="1:19" s="52" customFormat="1" ht="22.5">
      <c r="A45" s="29" t="s">
        <v>73</v>
      </c>
      <c r="B45" s="29"/>
      <c r="C45" s="29"/>
      <c r="D45" s="398"/>
      <c r="E45" s="398"/>
      <c r="F45" s="398"/>
      <c r="G45" s="398"/>
      <c r="H45" s="398"/>
      <c r="I45" s="398"/>
      <c r="J45" s="398"/>
      <c r="K45" s="398"/>
      <c r="L45" s="398"/>
      <c r="M45" s="398"/>
      <c r="N45" s="398"/>
      <c r="O45" s="398"/>
      <c r="P45" s="398"/>
      <c r="Q45" s="398"/>
      <c r="R45" s="398"/>
      <c r="S45" s="398"/>
    </row>
    <row r="46" spans="1:19" s="52" customFormat="1">
      <c r="A46" s="53"/>
      <c r="B46" s="703"/>
      <c r="C46" s="716" t="s">
        <v>755</v>
      </c>
      <c r="D46" s="797"/>
      <c r="E46" s="797"/>
      <c r="F46" s="797"/>
      <c r="G46" s="797"/>
      <c r="H46" s="797"/>
      <c r="I46" s="797"/>
      <c r="J46" s="797"/>
      <c r="K46" s="797"/>
      <c r="L46" s="797"/>
      <c r="M46" s="703"/>
      <c r="N46" s="398"/>
      <c r="O46" s="398"/>
      <c r="P46" s="398"/>
      <c r="Q46" s="398"/>
      <c r="R46" s="398"/>
      <c r="S46" s="398"/>
    </row>
    <row r="47" spans="1:19" s="52" customFormat="1" ht="12.75" customHeight="1">
      <c r="A47" s="398"/>
      <c r="B47" s="53"/>
      <c r="C47" s="53"/>
      <c r="D47" s="695" t="str">
        <f>Profile!C19</f>
        <v>Organization Name</v>
      </c>
      <c r="E47" s="398" t="str">
        <f>rpt_OrgName</f>
        <v>CompanyName</v>
      </c>
      <c r="F47" s="398"/>
      <c r="G47" s="398"/>
      <c r="H47" s="398"/>
      <c r="I47" s="398"/>
      <c r="J47" s="398"/>
      <c r="K47" s="398"/>
      <c r="L47" s="398"/>
      <c r="M47" s="53"/>
      <c r="N47" s="398"/>
      <c r="O47" s="398"/>
      <c r="P47" s="398"/>
      <c r="Q47" s="398"/>
      <c r="R47" s="398"/>
      <c r="S47" s="398"/>
    </row>
    <row r="48" spans="1:19" s="52" customFormat="1" ht="12.75" customHeight="1">
      <c r="A48" s="398"/>
      <c r="B48" s="53"/>
      <c r="C48" s="53"/>
      <c r="D48" s="226" t="s">
        <v>756</v>
      </c>
      <c r="E48" s="398" t="str">
        <f>Industry</f>
        <v>Average or combination</v>
      </c>
      <c r="F48" s="398"/>
      <c r="G48" s="398"/>
      <c r="H48" s="398"/>
      <c r="I48" s="398"/>
      <c r="J48" s="398"/>
      <c r="K48" s="398"/>
      <c r="L48" s="398"/>
      <c r="M48" s="53"/>
      <c r="N48" s="398"/>
      <c r="O48" s="398"/>
      <c r="P48" s="398"/>
      <c r="Q48" s="398"/>
      <c r="R48" s="398"/>
      <c r="S48" s="398"/>
    </row>
    <row r="49" spans="1:19" s="52" customFormat="1" ht="12.75" customHeight="1">
      <c r="A49" s="398"/>
      <c r="B49" s="53"/>
      <c r="C49" s="53"/>
      <c r="D49" s="36" t="s">
        <v>757</v>
      </c>
      <c r="E49" s="398" t="str">
        <f>Country</f>
        <v>NORTH AMERICA - United States</v>
      </c>
      <c r="F49" s="398"/>
      <c r="G49" s="398"/>
      <c r="H49" s="398"/>
      <c r="I49" s="398"/>
      <c r="J49" s="398"/>
      <c r="K49" s="398"/>
      <c r="L49" s="398"/>
      <c r="M49" s="53"/>
      <c r="N49" s="398"/>
      <c r="O49" s="398"/>
      <c r="P49" s="398"/>
      <c r="Q49" s="398"/>
      <c r="R49" s="398"/>
      <c r="S49" s="398"/>
    </row>
    <row r="50" spans="1:19" s="52" customFormat="1">
      <c r="A50" s="398"/>
      <c r="B50" s="53"/>
      <c r="C50" s="53"/>
      <c r="D50" s="243" t="str">
        <f>Profile!C28</f>
        <v>Employees / FTEs (in project scope)</v>
      </c>
      <c r="E50" s="107">
        <f>Profile!D28</f>
        <v>5000</v>
      </c>
      <c r="F50" s="398"/>
      <c r="G50" s="398"/>
      <c r="H50" s="398"/>
      <c r="I50" s="398"/>
      <c r="J50" s="398"/>
      <c r="K50" s="398"/>
      <c r="L50" s="398"/>
      <c r="M50" s="53"/>
      <c r="N50" s="398"/>
      <c r="O50" s="398"/>
      <c r="P50" s="398"/>
      <c r="Q50" s="398"/>
      <c r="R50" s="398"/>
      <c r="S50" s="398"/>
    </row>
    <row r="51" spans="1:19" s="52" customFormat="1" ht="25.5" customHeight="1">
      <c r="A51" s="398"/>
      <c r="B51" s="53"/>
      <c r="C51" s="53"/>
      <c r="D51" s="696" t="str">
        <f>Profile!C29</f>
        <v>Organization Revenue (Millions) in scope</v>
      </c>
      <c r="E51" s="697">
        <f>Profile!D29</f>
        <v>2233.5035673083048</v>
      </c>
      <c r="F51" s="398"/>
      <c r="G51" s="398"/>
      <c r="H51" s="398"/>
      <c r="I51" s="398"/>
      <c r="J51" s="398"/>
      <c r="K51" s="398"/>
      <c r="L51" s="398"/>
      <c r="M51" s="53"/>
      <c r="N51" s="398"/>
      <c r="O51" s="398"/>
      <c r="P51" s="398"/>
      <c r="Q51" s="398"/>
      <c r="R51" s="398"/>
      <c r="S51" s="398"/>
    </row>
    <row r="52" spans="1:19" s="52" customFormat="1">
      <c r="A52" s="398"/>
      <c r="B52" s="53"/>
      <c r="C52" s="53"/>
      <c r="D52" s="696" t="str">
        <f>Profile!C30</f>
        <v>Number of PC Users (in scope)</v>
      </c>
      <c r="E52" s="250">
        <f>Profile!D30</f>
        <v>2752.1929016722806</v>
      </c>
      <c r="F52" s="398"/>
      <c r="G52" s="398"/>
      <c r="H52" s="398"/>
      <c r="I52" s="398"/>
      <c r="J52" s="398"/>
      <c r="K52" s="398"/>
      <c r="L52" s="398"/>
      <c r="M52" s="53"/>
      <c r="N52" s="398"/>
      <c r="O52" s="398"/>
      <c r="P52" s="398"/>
      <c r="Q52" s="398"/>
      <c r="R52" s="398"/>
      <c r="S52" s="398"/>
    </row>
    <row r="53" spans="1:19" s="52" customFormat="1" ht="12.75" customHeight="1">
      <c r="A53" s="398"/>
      <c r="B53" s="53"/>
      <c r="C53" s="53"/>
      <c r="D53" s="696" t="str">
        <f>Profile!C31</f>
        <v>Total Number of PCs (in scope)</v>
      </c>
      <c r="E53" s="250">
        <f>Profile!D31</f>
        <v>3275.109552990014</v>
      </c>
      <c r="F53" s="398"/>
      <c r="G53" s="398"/>
      <c r="H53" s="398"/>
      <c r="I53" s="398"/>
      <c r="J53" s="398"/>
      <c r="K53" s="398"/>
      <c r="L53" s="398"/>
      <c r="M53" s="53"/>
      <c r="N53" s="398"/>
      <c r="O53" s="398"/>
      <c r="P53" s="398"/>
      <c r="Q53" s="398"/>
      <c r="R53" s="398"/>
      <c r="S53" s="398"/>
    </row>
    <row r="54" spans="1:19" s="52" customFormat="1" ht="4.5" customHeight="1">
      <c r="A54" s="398"/>
      <c r="B54" s="53"/>
      <c r="C54" s="53"/>
      <c r="D54" s="53"/>
      <c r="E54" s="53"/>
      <c r="F54" s="53"/>
      <c r="G54" s="53"/>
      <c r="H54" s="53"/>
      <c r="I54" s="53"/>
      <c r="J54" s="53"/>
      <c r="K54" s="53"/>
      <c r="L54" s="53"/>
      <c r="M54" s="53"/>
      <c r="N54" s="398"/>
      <c r="O54" s="398"/>
      <c r="P54" s="398"/>
      <c r="Q54" s="398"/>
      <c r="R54" s="398"/>
      <c r="S54" s="398"/>
    </row>
    <row r="55" spans="1:19" s="52" customFormat="1" ht="6.75" customHeight="1">
      <c r="A55" s="398"/>
      <c r="B55" s="398"/>
      <c r="C55" s="398"/>
      <c r="D55" s="398"/>
      <c r="E55" s="398"/>
      <c r="F55" s="398"/>
      <c r="G55" s="398"/>
      <c r="H55" s="398"/>
      <c r="I55" s="398"/>
      <c r="J55" s="398"/>
      <c r="K55" s="398"/>
      <c r="L55" s="398"/>
      <c r="M55" s="398"/>
      <c r="N55" s="398"/>
      <c r="O55" s="398"/>
      <c r="P55" s="398"/>
      <c r="Q55" s="398"/>
      <c r="R55" s="398"/>
      <c r="S55" s="398"/>
    </row>
    <row r="56" spans="1:19" s="52" customFormat="1" ht="22.5">
      <c r="A56" s="29" t="s">
        <v>15</v>
      </c>
      <c r="B56" s="29"/>
      <c r="C56" s="29"/>
      <c r="D56" s="398"/>
      <c r="E56" s="398"/>
      <c r="F56" s="398"/>
      <c r="G56" s="398"/>
      <c r="H56" s="398"/>
      <c r="I56" s="398"/>
      <c r="J56" s="398"/>
      <c r="K56" s="398"/>
      <c r="L56" s="398"/>
      <c r="M56" s="398"/>
      <c r="N56" s="398"/>
      <c r="O56" s="398"/>
      <c r="P56" s="398"/>
      <c r="Q56" s="398"/>
      <c r="R56" s="398"/>
      <c r="S56" s="398"/>
    </row>
    <row r="57" spans="1:19" s="52" customFormat="1">
      <c r="A57" s="53"/>
      <c r="B57" s="703"/>
      <c r="C57" s="716" t="s">
        <v>758</v>
      </c>
      <c r="D57" s="797"/>
      <c r="E57" s="797"/>
      <c r="F57" s="797"/>
      <c r="G57" s="797"/>
      <c r="H57" s="797"/>
      <c r="I57" s="797"/>
      <c r="J57" s="797"/>
      <c r="K57" s="797"/>
      <c r="L57" s="797"/>
      <c r="M57" s="703"/>
      <c r="N57" s="398"/>
      <c r="O57" s="398"/>
      <c r="P57" s="398"/>
      <c r="Q57" s="398"/>
      <c r="R57" s="398"/>
      <c r="S57" s="398"/>
    </row>
    <row r="58" spans="1:19" s="52" customFormat="1" ht="12.75" customHeight="1">
      <c r="A58" s="398"/>
      <c r="B58" s="53"/>
      <c r="C58" s="53"/>
      <c r="D58" s="696" t="str">
        <f>Profile!C11</f>
        <v>Project Name:</v>
      </c>
      <c r="E58" s="876" t="str">
        <f>Profile!D11</f>
        <v>Data Center / Server</v>
      </c>
      <c r="F58" s="877"/>
      <c r="G58" s="877"/>
      <c r="H58" s="877"/>
      <c r="I58" s="877"/>
      <c r="J58" s="877"/>
      <c r="K58" s="878"/>
      <c r="L58" s="398"/>
      <c r="M58" s="53"/>
      <c r="N58" s="398"/>
      <c r="O58" s="398"/>
      <c r="P58" s="398"/>
      <c r="Q58" s="398"/>
      <c r="R58" s="398"/>
      <c r="S58" s="398"/>
    </row>
    <row r="59" spans="1:19" s="52" customFormat="1" ht="90" customHeight="1">
      <c r="A59" s="398"/>
      <c r="B59" s="53"/>
      <c r="C59" s="53"/>
      <c r="D59" s="36" t="str">
        <f>Profile!C13</f>
        <v>Project Description:</v>
      </c>
      <c r="E59" s="876" t="str">
        <f>Profile!C14</f>
        <v>• Virtualization, consolidation, clustering, real-time infrastructure, self-service provisioning, power and cooling
• Improved performance, reliability, manageability, security
• Multi-core, 64-bit, RISC/Itanium, x86
• Web servers, application servers, DBMS servers, data warehouse servers, infrastructure servers, high performance computing servers</v>
      </c>
      <c r="F59" s="877"/>
      <c r="G59" s="877"/>
      <c r="H59" s="877"/>
      <c r="I59" s="877"/>
      <c r="J59" s="877"/>
      <c r="K59" s="878"/>
      <c r="L59" s="398"/>
      <c r="M59" s="53"/>
      <c r="N59" s="398"/>
      <c r="O59" s="398"/>
      <c r="P59" s="398"/>
      <c r="Q59" s="398"/>
      <c r="R59" s="398"/>
      <c r="S59" s="398"/>
    </row>
    <row r="60" spans="1:19" s="52" customFormat="1" ht="12.75" customHeight="1">
      <c r="A60" s="398"/>
      <c r="B60" s="53"/>
      <c r="C60" s="53"/>
      <c r="D60" s="696" t="str">
        <f>Profile!C9</f>
        <v>Project Scale (Investment level)</v>
      </c>
      <c r="E60" s="876" t="str">
        <f>ProjectScaleSelected</f>
        <v>Minor (e.g. enhancement/upgrade)</v>
      </c>
      <c r="F60" s="877"/>
      <c r="G60" s="877"/>
      <c r="H60" s="877"/>
      <c r="I60" s="877"/>
      <c r="J60" s="877"/>
      <c r="K60" s="878"/>
      <c r="L60" s="398"/>
      <c r="M60" s="53"/>
      <c r="N60" s="398"/>
      <c r="O60" s="398"/>
      <c r="P60" s="398"/>
      <c r="Q60" s="398"/>
      <c r="R60" s="398"/>
      <c r="S60" s="398"/>
    </row>
    <row r="61" spans="1:19" s="52" customFormat="1" ht="6.75" customHeight="1">
      <c r="A61" s="398"/>
      <c r="B61" s="398"/>
      <c r="C61" s="398"/>
      <c r="D61" s="37"/>
      <c r="E61" s="398"/>
      <c r="F61" s="398"/>
      <c r="G61" s="398"/>
      <c r="H61" s="398"/>
      <c r="I61" s="398"/>
      <c r="J61" s="398"/>
      <c r="K61" s="398"/>
      <c r="L61" s="398"/>
      <c r="M61" s="398"/>
      <c r="N61" s="398"/>
      <c r="O61" s="398"/>
      <c r="P61" s="398"/>
      <c r="Q61" s="398"/>
      <c r="R61" s="398"/>
      <c r="S61" s="398"/>
    </row>
    <row r="62" spans="1:19" ht="22.5">
      <c r="A62" s="29" t="s">
        <v>759</v>
      </c>
      <c r="B62" s="29"/>
      <c r="C62" s="29"/>
      <c r="D62" s="398"/>
      <c r="E62" s="398"/>
      <c r="F62" s="398"/>
      <c r="G62" s="398"/>
      <c r="H62" s="398"/>
      <c r="I62" s="398"/>
      <c r="J62" s="398"/>
      <c r="K62" s="398"/>
      <c r="L62" s="398"/>
      <c r="M62" s="398"/>
      <c r="N62" s="398"/>
      <c r="O62" s="398"/>
      <c r="P62" s="398"/>
      <c r="Q62" s="398"/>
      <c r="R62" s="398"/>
      <c r="S62" s="398"/>
    </row>
    <row r="63" spans="1:19" s="105" customFormat="1" ht="36" customHeight="1">
      <c r="A63" s="53"/>
      <c r="B63" s="703"/>
      <c r="C63" s="797" t="s">
        <v>760</v>
      </c>
      <c r="D63" s="797"/>
      <c r="E63" s="797"/>
      <c r="F63" s="797"/>
      <c r="G63" s="797"/>
      <c r="H63" s="797"/>
      <c r="I63" s="797"/>
      <c r="J63" s="797"/>
      <c r="K63" s="797"/>
      <c r="L63" s="797"/>
      <c r="M63" s="703"/>
      <c r="N63" s="398"/>
      <c r="O63" s="398"/>
      <c r="P63" s="398"/>
      <c r="Q63" s="398"/>
      <c r="R63" s="398"/>
      <c r="S63" s="398"/>
    </row>
    <row r="64" spans="1:19" ht="12.75" customHeight="1">
      <c r="A64" s="398"/>
      <c r="B64" s="53"/>
      <c r="C64" s="53"/>
      <c r="D64" s="53"/>
      <c r="E64" s="803" t="s">
        <v>751</v>
      </c>
      <c r="F64" s="804"/>
      <c r="G64" s="804"/>
      <c r="H64" s="835" t="s">
        <v>761</v>
      </c>
      <c r="I64" s="783"/>
      <c r="J64" s="835"/>
      <c r="K64" s="53"/>
      <c r="L64" s="53"/>
      <c r="M64" s="53"/>
      <c r="N64" s="398"/>
      <c r="O64" s="398"/>
      <c r="P64" s="398"/>
      <c r="Q64" s="398"/>
      <c r="R64" s="398"/>
      <c r="S64" s="398"/>
    </row>
    <row r="65" spans="1:19" ht="25.5">
      <c r="A65" s="398"/>
      <c r="B65" s="53"/>
      <c r="C65" s="672"/>
      <c r="D65" s="53"/>
      <c r="E65" s="694" t="str">
        <f>$E$20</f>
        <v>One-Time</v>
      </c>
      <c r="F65" s="671" t="str">
        <f>$F$20</f>
        <v>Annual Recurring</v>
      </c>
      <c r="G65" s="671" t="str">
        <f>$G$20</f>
        <v>Project Total</v>
      </c>
      <c r="H65" s="694" t="str">
        <f>$E$20</f>
        <v>One-Time</v>
      </c>
      <c r="I65" s="671" t="str">
        <f>$F$20</f>
        <v>Annual Recurring</v>
      </c>
      <c r="J65" s="671" t="str">
        <f>$G$20</f>
        <v>Project Total</v>
      </c>
      <c r="K65" s="53"/>
      <c r="L65" s="53"/>
      <c r="M65" s="53"/>
      <c r="N65" s="398"/>
      <c r="O65" s="398"/>
      <c r="P65" s="398"/>
      <c r="Q65" s="398"/>
      <c r="R65" s="398"/>
      <c r="S65" s="398"/>
    </row>
    <row r="66" spans="1:19">
      <c r="A66" s="398"/>
      <c r="B66" s="53"/>
      <c r="C66" s="53"/>
      <c r="D66" s="696" t="str">
        <f>D154</f>
        <v xml:space="preserve">Hardware </v>
      </c>
      <c r="E66" s="539">
        <f t="shared" ref="E66:J66" si="0">E157</f>
        <v>15</v>
      </c>
      <c r="F66" s="539">
        <f t="shared" si="0"/>
        <v>2.25</v>
      </c>
      <c r="G66" s="539">
        <f t="shared" si="0"/>
        <v>26.249999999999996</v>
      </c>
      <c r="H66" s="539">
        <f t="shared" si="0"/>
        <v>41.282893525084212</v>
      </c>
      <c r="I66" s="539">
        <f t="shared" si="0"/>
        <v>6.1924340287626309</v>
      </c>
      <c r="J66" s="539">
        <f t="shared" si="0"/>
        <v>72.245063668897359</v>
      </c>
      <c r="K66" s="53"/>
      <c r="L66" s="53"/>
      <c r="M66" s="53"/>
      <c r="N66" s="398"/>
      <c r="O66" s="398"/>
      <c r="P66" s="398"/>
      <c r="Q66" s="398"/>
      <c r="R66" s="398"/>
      <c r="S66" s="398"/>
    </row>
    <row r="67" spans="1:19">
      <c r="A67" s="398"/>
      <c r="B67" s="53"/>
      <c r="C67" s="53"/>
      <c r="D67" s="696" t="str">
        <f>D158</f>
        <v>Software</v>
      </c>
      <c r="E67" s="539">
        <f t="shared" ref="E67:J67" si="1">E161</f>
        <v>31.083333333333336</v>
      </c>
      <c r="F67" s="539">
        <f t="shared" si="1"/>
        <v>7.149166666666666</v>
      </c>
      <c r="G67" s="539">
        <f t="shared" si="1"/>
        <v>66.829166666666652</v>
      </c>
      <c r="H67" s="539">
        <f t="shared" si="1"/>
        <v>85.547329360313398</v>
      </c>
      <c r="I67" s="539">
        <f t="shared" si="1"/>
        <v>19.675885752872077</v>
      </c>
      <c r="J67" s="539">
        <f t="shared" si="1"/>
        <v>183.92675812467377</v>
      </c>
      <c r="K67" s="53"/>
      <c r="L67" s="53"/>
      <c r="M67" s="53"/>
      <c r="N67" s="398"/>
      <c r="O67" s="398"/>
      <c r="P67" s="398"/>
      <c r="Q67" s="398"/>
      <c r="R67" s="398"/>
      <c r="S67" s="398"/>
    </row>
    <row r="68" spans="1:19">
      <c r="A68" s="398"/>
      <c r="B68" s="53"/>
      <c r="C68" s="53"/>
      <c r="D68" s="696" t="str">
        <f>D162</f>
        <v>IT Labor, Services, &amp; Training</v>
      </c>
      <c r="E68" s="539">
        <f t="shared" ref="E68:J68" si="2">E167</f>
        <v>33.667576319519014</v>
      </c>
      <c r="F68" s="539">
        <f t="shared" si="2"/>
        <v>8.5941285715146434E-2</v>
      </c>
      <c r="G68" s="539">
        <f t="shared" si="2"/>
        <v>34.097282748094742</v>
      </c>
      <c r="H68" s="539">
        <f t="shared" si="2"/>
        <v>92.65966456308999</v>
      </c>
      <c r="I68" s="539">
        <f t="shared" si="2"/>
        <v>0.23652699650581538</v>
      </c>
      <c r="J68" s="539">
        <f t="shared" si="2"/>
        <v>93.84229954561907</v>
      </c>
      <c r="K68" s="53"/>
      <c r="L68" s="53"/>
      <c r="M68" s="53"/>
      <c r="N68" s="398"/>
      <c r="O68" s="398"/>
      <c r="P68" s="398"/>
      <c r="Q68" s="398"/>
      <c r="R68" s="398"/>
      <c r="S68" s="398"/>
    </row>
    <row r="69" spans="1:19" ht="13.5" thickBot="1">
      <c r="A69" s="398"/>
      <c r="B69" s="53"/>
      <c r="C69" s="53"/>
      <c r="D69" s="695" t="str">
        <f>D168</f>
        <v>End-User Labor &amp; Training</v>
      </c>
      <c r="E69" s="539">
        <f t="shared" ref="E69:J69" si="3">E171</f>
        <v>14.605435596741485</v>
      </c>
      <c r="F69" s="539">
        <f t="shared" si="3"/>
        <v>1.4950483996379429</v>
      </c>
      <c r="G69" s="539">
        <f t="shared" si="3"/>
        <v>22.080677594931196</v>
      </c>
      <c r="H69" s="539">
        <f t="shared" si="3"/>
        <v>40.196976175183558</v>
      </c>
      <c r="I69" s="539">
        <f t="shared" si="3"/>
        <v>4.114661593140049</v>
      </c>
      <c r="J69" s="539">
        <f t="shared" si="3"/>
        <v>60.770284140883795</v>
      </c>
      <c r="K69" s="53"/>
      <c r="L69" s="53"/>
      <c r="M69" s="53"/>
      <c r="N69" s="398"/>
      <c r="O69" s="398"/>
      <c r="P69" s="398"/>
      <c r="Q69" s="398"/>
      <c r="R69" s="398"/>
      <c r="S69" s="398"/>
    </row>
    <row r="70" spans="1:19" ht="13.5" thickTop="1">
      <c r="A70" s="398"/>
      <c r="B70" s="53"/>
      <c r="C70" s="53"/>
      <c r="D70" s="38" t="s">
        <v>259</v>
      </c>
      <c r="E70" s="560">
        <f t="shared" ref="E70:J70" si="4">SUM(E66:E69)</f>
        <v>94.356345249593844</v>
      </c>
      <c r="F70" s="550">
        <f t="shared" si="4"/>
        <v>10.980156352019755</v>
      </c>
      <c r="G70" s="550">
        <f t="shared" si="4"/>
        <v>149.2571270096926</v>
      </c>
      <c r="H70" s="550">
        <f t="shared" si="4"/>
        <v>259.68686362367117</v>
      </c>
      <c r="I70" s="550">
        <f t="shared" si="4"/>
        <v>30.219508371280572</v>
      </c>
      <c r="J70" s="550">
        <f t="shared" si="4"/>
        <v>410.78440548007399</v>
      </c>
      <c r="K70" s="53"/>
      <c r="L70" s="53"/>
      <c r="M70" s="53"/>
      <c r="N70" s="398"/>
      <c r="O70" s="398"/>
      <c r="P70" s="398"/>
      <c r="Q70" s="398"/>
      <c r="R70" s="398"/>
      <c r="S70" s="398"/>
    </row>
    <row r="71" spans="1:19">
      <c r="A71" s="398"/>
      <c r="B71" s="53"/>
      <c r="C71" s="53"/>
      <c r="D71" s="53"/>
      <c r="E71" s="53"/>
      <c r="F71" s="53"/>
      <c r="G71" s="53"/>
      <c r="H71" s="53"/>
      <c r="I71" s="53"/>
      <c r="J71" s="53"/>
      <c r="K71" s="53"/>
      <c r="L71" s="53"/>
      <c r="M71" s="53"/>
      <c r="N71" s="398"/>
      <c r="O71" s="398"/>
      <c r="P71" s="398"/>
      <c r="Q71" s="398"/>
      <c r="R71" s="398"/>
      <c r="S71" s="398"/>
    </row>
    <row r="72" spans="1:19" s="32" customFormat="1" ht="6.75" customHeight="1">
      <c r="A72" s="398"/>
      <c r="B72" s="398"/>
      <c r="C72" s="398"/>
      <c r="D72" s="398"/>
      <c r="E72" s="398"/>
      <c r="F72" s="398"/>
      <c r="G72" s="398"/>
      <c r="H72" s="398"/>
      <c r="I72" s="398"/>
      <c r="J72" s="398"/>
      <c r="K72" s="398"/>
      <c r="L72" s="398"/>
      <c r="M72" s="398"/>
      <c r="N72" s="398"/>
      <c r="O72" s="398"/>
      <c r="P72" s="398"/>
      <c r="Q72" s="398"/>
      <c r="R72" s="398"/>
      <c r="S72" s="398"/>
    </row>
    <row r="73" spans="1:19" ht="22.5">
      <c r="A73" s="29" t="s">
        <v>762</v>
      </c>
      <c r="B73" s="29"/>
      <c r="C73" s="29"/>
      <c r="D73" s="398"/>
      <c r="E73" s="398"/>
      <c r="F73" s="398"/>
      <c r="G73" s="398"/>
      <c r="H73" s="398"/>
      <c r="I73" s="398"/>
      <c r="J73" s="398"/>
      <c r="K73" s="398"/>
      <c r="L73" s="398"/>
      <c r="M73" s="398"/>
      <c r="N73" s="398"/>
      <c r="O73" s="398"/>
      <c r="P73" s="398"/>
      <c r="Q73" s="398"/>
      <c r="R73" s="398"/>
      <c r="S73" s="398"/>
    </row>
    <row r="74" spans="1:19" s="105" customFormat="1" ht="23.25" customHeight="1">
      <c r="A74" s="53"/>
      <c r="B74" s="703"/>
      <c r="C74" s="716" t="s">
        <v>763</v>
      </c>
      <c r="D74" s="797"/>
      <c r="E74" s="797"/>
      <c r="F74" s="797"/>
      <c r="G74" s="797"/>
      <c r="H74" s="797"/>
      <c r="I74" s="797"/>
      <c r="J74" s="797"/>
      <c r="K74" s="797"/>
      <c r="L74" s="797"/>
      <c r="M74" s="703"/>
      <c r="N74" s="398"/>
      <c r="O74" s="398"/>
      <c r="P74" s="398"/>
      <c r="Q74" s="398"/>
      <c r="R74" s="398"/>
      <c r="S74" s="398"/>
    </row>
    <row r="75" spans="1:19">
      <c r="A75" s="398"/>
      <c r="B75" s="53"/>
      <c r="C75" s="53"/>
      <c r="D75" s="53"/>
      <c r="E75" s="803" t="s">
        <v>752</v>
      </c>
      <c r="F75" s="804"/>
      <c r="G75" s="804"/>
      <c r="H75" s="803" t="s">
        <v>764</v>
      </c>
      <c r="I75" s="804"/>
      <c r="J75" s="805"/>
      <c r="K75" s="53"/>
      <c r="L75" s="53"/>
      <c r="M75" s="53"/>
      <c r="N75" s="398"/>
      <c r="O75" s="398"/>
      <c r="P75" s="398"/>
      <c r="Q75" s="398"/>
      <c r="R75" s="398"/>
      <c r="S75" s="398"/>
    </row>
    <row r="76" spans="1:19" s="32" customFormat="1" ht="25.5">
      <c r="A76" s="398"/>
      <c r="B76" s="833" t="s">
        <v>765</v>
      </c>
      <c r="C76" s="833"/>
      <c r="D76" s="879"/>
      <c r="E76" s="694" t="str">
        <f>$E$20</f>
        <v>One-Time</v>
      </c>
      <c r="F76" s="671" t="str">
        <f>$F$20</f>
        <v>Annual Recurring</v>
      </c>
      <c r="G76" s="671" t="str">
        <f>$G$20</f>
        <v>Project Total</v>
      </c>
      <c r="H76" s="694" t="str">
        <f>$E$20</f>
        <v>One-Time</v>
      </c>
      <c r="I76" s="671" t="str">
        <f>$F$20</f>
        <v>Annual Recurring</v>
      </c>
      <c r="J76" s="671" t="str">
        <f>$G$20</f>
        <v>Project Total</v>
      </c>
      <c r="K76" s="53"/>
      <c r="L76" s="53"/>
      <c r="M76" s="53"/>
      <c r="N76" s="398"/>
      <c r="O76" s="398"/>
      <c r="P76" s="398"/>
      <c r="Q76" s="398"/>
      <c r="R76" s="398"/>
      <c r="S76" s="398"/>
    </row>
    <row r="77" spans="1:19" s="32" customFormat="1">
      <c r="A77" s="398"/>
      <c r="B77" s="53"/>
      <c r="C77" s="53"/>
      <c r="D77" s="696" t="str">
        <f>B240</f>
        <v>IT Spending/TCO Savings</v>
      </c>
      <c r="E77" s="539">
        <f t="shared" ref="E77:J77" si="5">E248</f>
        <v>0</v>
      </c>
      <c r="F77" s="539">
        <f t="shared" si="5"/>
        <v>96.697049625330351</v>
      </c>
      <c r="G77" s="539">
        <f t="shared" si="5"/>
        <v>483.48524812665181</v>
      </c>
      <c r="H77" s="539">
        <f t="shared" si="5"/>
        <v>0</v>
      </c>
      <c r="I77" s="539">
        <f t="shared" si="5"/>
        <v>266.12893359148643</v>
      </c>
      <c r="J77" s="539">
        <f t="shared" si="5"/>
        <v>1330.6446679574324</v>
      </c>
      <c r="K77" s="53"/>
      <c r="L77" s="53"/>
      <c r="M77" s="53"/>
      <c r="N77" s="398"/>
      <c r="O77" s="398"/>
      <c r="P77" s="398"/>
      <c r="Q77" s="398"/>
      <c r="R77" s="398"/>
      <c r="S77" s="398"/>
    </row>
    <row r="78" spans="1:19" s="32" customFormat="1">
      <c r="A78" s="398"/>
      <c r="B78" s="53"/>
      <c r="C78" s="53"/>
      <c r="D78" s="696" t="str">
        <f>B250</f>
        <v>Other Direct Cost Savings</v>
      </c>
      <c r="E78" s="539">
        <f t="shared" ref="E78:J78" si="6">E260+E265</f>
        <v>7.4700000000000006</v>
      </c>
      <c r="F78" s="539">
        <f t="shared" si="6"/>
        <v>5.2359617499999995</v>
      </c>
      <c r="G78" s="539">
        <f t="shared" si="6"/>
        <v>33.649808750000005</v>
      </c>
      <c r="H78" s="539">
        <f t="shared" si="6"/>
        <v>20.558880975491938</v>
      </c>
      <c r="I78" s="539">
        <f t="shared" si="6"/>
        <v>14.410376761777574</v>
      </c>
      <c r="J78" s="539">
        <f t="shared" si="6"/>
        <v>92.610764784379796</v>
      </c>
      <c r="K78" s="53"/>
      <c r="L78" s="53"/>
      <c r="M78" s="53"/>
      <c r="N78" s="398"/>
      <c r="O78" s="398"/>
      <c r="P78" s="398"/>
      <c r="Q78" s="398"/>
      <c r="R78" s="398"/>
      <c r="S78" s="398"/>
    </row>
    <row r="79" spans="1:19" s="32" customFormat="1">
      <c r="A79" s="398"/>
      <c r="B79" s="53"/>
      <c r="C79" s="53"/>
      <c r="D79" s="696" t="str">
        <f>B294</f>
        <v>User Productivity Benefits</v>
      </c>
      <c r="E79" s="539">
        <f t="shared" ref="E79:J79" si="7">E303+E309+E317</f>
        <v>0</v>
      </c>
      <c r="F79" s="539">
        <f t="shared" si="7"/>
        <v>80.343349507922213</v>
      </c>
      <c r="G79" s="539">
        <f t="shared" si="7"/>
        <v>401.71674753961111</v>
      </c>
      <c r="H79" s="539">
        <f t="shared" si="7"/>
        <v>0</v>
      </c>
      <c r="I79" s="539">
        <f t="shared" si="7"/>
        <v>221.12039621227865</v>
      </c>
      <c r="J79" s="539">
        <f t="shared" si="7"/>
        <v>1105.6019810613932</v>
      </c>
      <c r="K79" s="53"/>
      <c r="L79" s="53"/>
      <c r="M79" s="53"/>
      <c r="N79" s="398"/>
      <c r="O79" s="398"/>
      <c r="P79" s="398"/>
      <c r="Q79" s="398"/>
      <c r="R79" s="398"/>
      <c r="S79" s="398"/>
    </row>
    <row r="80" spans="1:19" s="32" customFormat="1" ht="13.5" thickBot="1">
      <c r="A80" s="398"/>
      <c r="B80" s="53"/>
      <c r="C80" s="53"/>
      <c r="D80" s="695" t="str">
        <f>B343</f>
        <v>Revenue Growth</v>
      </c>
      <c r="E80" s="539">
        <f t="shared" ref="E80:J80" si="8">E353</f>
        <v>0</v>
      </c>
      <c r="F80" s="539">
        <f t="shared" si="8"/>
        <v>27.641377545136631</v>
      </c>
      <c r="G80" s="539">
        <f t="shared" si="8"/>
        <v>138.20688772568315</v>
      </c>
      <c r="H80" s="539">
        <f t="shared" si="8"/>
        <v>0</v>
      </c>
      <c r="I80" s="539">
        <f t="shared" si="8"/>
        <v>76.074403072168593</v>
      </c>
      <c r="J80" s="539">
        <f t="shared" si="8"/>
        <v>380.37201536084297</v>
      </c>
      <c r="K80" s="53"/>
      <c r="L80" s="53"/>
      <c r="M80" s="53"/>
      <c r="N80" s="398"/>
      <c r="O80" s="398"/>
      <c r="P80" s="398"/>
      <c r="Q80" s="398"/>
      <c r="R80" s="398"/>
      <c r="S80" s="398"/>
    </row>
    <row r="81" spans="1:19" s="32" customFormat="1" ht="13.5" thickTop="1">
      <c r="A81" s="398"/>
      <c r="B81" s="53"/>
      <c r="C81" s="53"/>
      <c r="D81" s="38" t="s">
        <v>259</v>
      </c>
      <c r="E81" s="560">
        <f t="shared" ref="E81:J81" si="9">SUM(E77:E80)</f>
        <v>7.4700000000000006</v>
      </c>
      <c r="F81" s="550">
        <f t="shared" si="9"/>
        <v>209.91773842838919</v>
      </c>
      <c r="G81" s="550">
        <f t="shared" si="9"/>
        <v>1057.058692141946</v>
      </c>
      <c r="H81" s="550">
        <f t="shared" si="9"/>
        <v>20.558880975491938</v>
      </c>
      <c r="I81" s="550">
        <f t="shared" si="9"/>
        <v>577.7341096377113</v>
      </c>
      <c r="J81" s="550">
        <f t="shared" si="9"/>
        <v>2909.2294291640483</v>
      </c>
      <c r="K81" s="53"/>
      <c r="L81" s="53"/>
      <c r="M81" s="53"/>
      <c r="N81" s="398"/>
      <c r="O81" s="398"/>
      <c r="P81" s="398"/>
      <c r="Q81" s="398"/>
      <c r="R81" s="398"/>
      <c r="S81" s="398"/>
    </row>
    <row r="82" spans="1:19" s="32" customFormat="1">
      <c r="A82" s="398"/>
      <c r="B82" s="53"/>
      <c r="C82" s="53"/>
      <c r="D82" s="53"/>
      <c r="E82" s="595"/>
      <c r="F82" s="595"/>
      <c r="G82" s="595"/>
      <c r="H82" s="595"/>
      <c r="I82" s="595"/>
      <c r="J82" s="595"/>
      <c r="K82" s="53"/>
      <c r="L82" s="53"/>
      <c r="M82" s="53"/>
      <c r="N82" s="398"/>
      <c r="O82" s="398"/>
      <c r="P82" s="398"/>
      <c r="Q82" s="398"/>
      <c r="R82" s="398"/>
      <c r="S82" s="398"/>
    </row>
    <row r="83" spans="1:19" s="32" customFormat="1" ht="15">
      <c r="A83" s="398"/>
      <c r="B83" s="833" t="s">
        <v>766</v>
      </c>
      <c r="C83" s="833"/>
      <c r="D83" s="879"/>
      <c r="E83" s="595"/>
      <c r="F83" s="595"/>
      <c r="G83" s="595"/>
      <c r="H83" s="595"/>
      <c r="I83" s="595"/>
      <c r="J83" s="595"/>
      <c r="K83" s="53"/>
      <c r="L83" s="53"/>
      <c r="M83" s="53"/>
      <c r="N83" s="398"/>
      <c r="O83" s="398"/>
      <c r="P83" s="398"/>
      <c r="Q83" s="398"/>
      <c r="R83" s="398"/>
      <c r="S83" s="398"/>
    </row>
    <row r="84" spans="1:19" s="32" customFormat="1" ht="14.25">
      <c r="A84" s="398"/>
      <c r="B84" s="53"/>
      <c r="C84" s="880" t="str">
        <f>B240</f>
        <v>IT Spending/TCO Savings</v>
      </c>
      <c r="D84" s="881"/>
      <c r="E84" s="539">
        <f t="shared" ref="E84:J84" si="10">E248</f>
        <v>0</v>
      </c>
      <c r="F84" s="539">
        <f t="shared" si="10"/>
        <v>96.697049625330351</v>
      </c>
      <c r="G84" s="539">
        <f t="shared" si="10"/>
        <v>483.48524812665181</v>
      </c>
      <c r="H84" s="539">
        <f t="shared" si="10"/>
        <v>0</v>
      </c>
      <c r="I84" s="539">
        <f t="shared" si="10"/>
        <v>266.12893359148643</v>
      </c>
      <c r="J84" s="539">
        <f t="shared" si="10"/>
        <v>1330.6446679574324</v>
      </c>
      <c r="K84" s="53"/>
      <c r="L84" s="53"/>
      <c r="M84" s="53"/>
      <c r="N84" s="398"/>
      <c r="O84" s="398"/>
      <c r="P84" s="398"/>
      <c r="Q84" s="398"/>
      <c r="R84" s="398"/>
      <c r="S84" s="398"/>
    </row>
    <row r="85" spans="1:19" s="32" customFormat="1" ht="14.25">
      <c r="A85" s="398"/>
      <c r="B85" s="53"/>
      <c r="C85" s="880" t="str">
        <f>B250</f>
        <v>Other Direct Cost Savings</v>
      </c>
      <c r="D85" s="880"/>
      <c r="E85" s="595"/>
      <c r="F85" s="595"/>
      <c r="G85" s="595"/>
      <c r="H85" s="595"/>
      <c r="I85" s="595"/>
      <c r="J85" s="595"/>
      <c r="K85" s="53"/>
      <c r="L85" s="53"/>
      <c r="M85" s="53"/>
      <c r="N85" s="398"/>
      <c r="O85" s="398"/>
      <c r="P85" s="398"/>
      <c r="Q85" s="398"/>
      <c r="R85" s="398"/>
      <c r="S85" s="398"/>
    </row>
    <row r="86" spans="1:19" s="32" customFormat="1">
      <c r="A86" s="398"/>
      <c r="B86" s="53"/>
      <c r="C86" s="53"/>
      <c r="D86" s="696" t="str">
        <f>C253</f>
        <v>IT Savings</v>
      </c>
      <c r="E86" s="539">
        <f t="shared" ref="E86:J86" si="11">E260</f>
        <v>7.4700000000000006</v>
      </c>
      <c r="F86" s="539">
        <f t="shared" si="11"/>
        <v>5.2359617499999995</v>
      </c>
      <c r="G86" s="539">
        <f t="shared" si="11"/>
        <v>33.649808750000005</v>
      </c>
      <c r="H86" s="539">
        <f t="shared" si="11"/>
        <v>20.558880975491938</v>
      </c>
      <c r="I86" s="539">
        <f t="shared" si="11"/>
        <v>14.410376761777574</v>
      </c>
      <c r="J86" s="539">
        <f t="shared" si="11"/>
        <v>92.610764784379796</v>
      </c>
      <c r="K86" s="53"/>
      <c r="L86" s="53"/>
      <c r="M86" s="53"/>
      <c r="N86" s="398"/>
      <c r="O86" s="398"/>
      <c r="P86" s="398"/>
      <c r="Q86" s="398"/>
      <c r="R86" s="398"/>
      <c r="S86" s="398"/>
    </row>
    <row r="87" spans="1:19" s="32" customFormat="1" ht="13.5" thickBot="1">
      <c r="A87" s="398"/>
      <c r="B87" s="53"/>
      <c r="C87" s="53"/>
      <c r="D87" s="695" t="str">
        <f>C261</f>
        <v>Business Savings</v>
      </c>
      <c r="E87" s="539">
        <f t="shared" ref="E87:J87" si="12">E265</f>
        <v>0</v>
      </c>
      <c r="F87" s="539">
        <f t="shared" si="12"/>
        <v>0</v>
      </c>
      <c r="G87" s="539">
        <f t="shared" si="12"/>
        <v>0</v>
      </c>
      <c r="H87" s="539">
        <f t="shared" si="12"/>
        <v>0</v>
      </c>
      <c r="I87" s="539">
        <f t="shared" si="12"/>
        <v>0</v>
      </c>
      <c r="J87" s="539">
        <f t="shared" si="12"/>
        <v>0</v>
      </c>
      <c r="K87" s="53"/>
      <c r="L87" s="53"/>
      <c r="M87" s="53"/>
      <c r="N87" s="398"/>
      <c r="O87" s="398"/>
      <c r="P87" s="398"/>
      <c r="Q87" s="398"/>
      <c r="R87" s="398"/>
      <c r="S87" s="398"/>
    </row>
    <row r="88" spans="1:19" s="32" customFormat="1" ht="13.5" thickTop="1">
      <c r="A88" s="398"/>
      <c r="B88" s="53"/>
      <c r="C88" s="53"/>
      <c r="D88" s="38" t="s">
        <v>259</v>
      </c>
      <c r="E88" s="560">
        <f t="shared" ref="E88:J88" si="13">SUM(E86:E87)</f>
        <v>7.4700000000000006</v>
      </c>
      <c r="F88" s="550">
        <f t="shared" si="13"/>
        <v>5.2359617499999995</v>
      </c>
      <c r="G88" s="550">
        <f t="shared" si="13"/>
        <v>33.649808750000005</v>
      </c>
      <c r="H88" s="550">
        <f t="shared" si="13"/>
        <v>20.558880975491938</v>
      </c>
      <c r="I88" s="550">
        <f t="shared" si="13"/>
        <v>14.410376761777574</v>
      </c>
      <c r="J88" s="550">
        <f t="shared" si="13"/>
        <v>92.610764784379796</v>
      </c>
      <c r="K88" s="53"/>
      <c r="L88" s="53"/>
      <c r="M88" s="53"/>
      <c r="N88" s="398"/>
      <c r="O88" s="398"/>
      <c r="P88" s="398"/>
      <c r="Q88" s="398"/>
      <c r="R88" s="398"/>
      <c r="S88" s="398"/>
    </row>
    <row r="89" spans="1:19" s="32" customFormat="1" ht="14.25">
      <c r="A89" s="398"/>
      <c r="B89" s="53"/>
      <c r="C89" s="880" t="str">
        <f>B294</f>
        <v>User Productivity Benefits</v>
      </c>
      <c r="D89" s="880"/>
      <c r="E89" s="595"/>
      <c r="F89" s="595"/>
      <c r="G89" s="595"/>
      <c r="H89" s="595"/>
      <c r="I89" s="595"/>
      <c r="J89" s="595"/>
      <c r="K89" s="53"/>
      <c r="L89" s="53"/>
      <c r="M89" s="53"/>
      <c r="N89" s="398"/>
      <c r="O89" s="398"/>
      <c r="P89" s="398"/>
      <c r="Q89" s="398"/>
      <c r="R89" s="398"/>
      <c r="S89" s="398"/>
    </row>
    <row r="90" spans="1:19" s="32" customFormat="1">
      <c r="A90" s="398"/>
      <c r="B90" s="53"/>
      <c r="C90" s="53"/>
      <c r="D90" s="696" t="str">
        <f>C297</f>
        <v>Individual Computing</v>
      </c>
      <c r="E90" s="539">
        <f t="shared" ref="E90:J90" si="14">E303</f>
        <v>0</v>
      </c>
      <c r="F90" s="539">
        <f t="shared" si="14"/>
        <v>42.931924765579652</v>
      </c>
      <c r="G90" s="539">
        <f t="shared" si="14"/>
        <v>214.65962382789826</v>
      </c>
      <c r="H90" s="539">
        <f t="shared" si="14"/>
        <v>0</v>
      </c>
      <c r="I90" s="539">
        <f t="shared" si="14"/>
        <v>118.15693859495671</v>
      </c>
      <c r="J90" s="539">
        <f t="shared" si="14"/>
        <v>590.78469297478352</v>
      </c>
      <c r="K90" s="53"/>
      <c r="L90" s="53"/>
      <c r="M90" s="53"/>
      <c r="N90" s="398"/>
      <c r="O90" s="398"/>
      <c r="P90" s="398"/>
      <c r="Q90" s="398"/>
      <c r="R90" s="398"/>
      <c r="S90" s="398"/>
    </row>
    <row r="91" spans="1:19" s="32" customFormat="1">
      <c r="A91" s="398"/>
      <c r="B91" s="53"/>
      <c r="C91" s="53"/>
      <c r="D91" s="696" t="str">
        <f>C304</f>
        <v>Collaborative Computing</v>
      </c>
      <c r="E91" s="539">
        <f t="shared" ref="E91:J91" si="15">E309</f>
        <v>0</v>
      </c>
      <c r="F91" s="539">
        <f t="shared" si="15"/>
        <v>0</v>
      </c>
      <c r="G91" s="539">
        <f t="shared" si="15"/>
        <v>0</v>
      </c>
      <c r="H91" s="539">
        <f t="shared" si="15"/>
        <v>0</v>
      </c>
      <c r="I91" s="539">
        <f t="shared" si="15"/>
        <v>0</v>
      </c>
      <c r="J91" s="539">
        <f t="shared" si="15"/>
        <v>0</v>
      </c>
      <c r="K91" s="53"/>
      <c r="L91" s="53"/>
      <c r="M91" s="53"/>
      <c r="N91" s="398"/>
      <c r="O91" s="398"/>
      <c r="P91" s="398"/>
      <c r="Q91" s="398"/>
      <c r="R91" s="398"/>
      <c r="S91" s="398"/>
    </row>
    <row r="92" spans="1:19" s="32" customFormat="1" ht="13.5" thickBot="1">
      <c r="A92" s="398"/>
      <c r="B92" s="53"/>
      <c r="C92" s="53"/>
      <c r="D92" s="695" t="str">
        <f>C310</f>
        <v>PC Systems Management</v>
      </c>
      <c r="E92" s="539">
        <f t="shared" ref="E92:J92" si="16">E317</f>
        <v>0</v>
      </c>
      <c r="F92" s="539">
        <f t="shared" si="16"/>
        <v>37.411424742342561</v>
      </c>
      <c r="G92" s="539">
        <f t="shared" si="16"/>
        <v>187.05712371171282</v>
      </c>
      <c r="H92" s="539">
        <f t="shared" si="16"/>
        <v>0</v>
      </c>
      <c r="I92" s="539">
        <f t="shared" si="16"/>
        <v>102.96345761732194</v>
      </c>
      <c r="J92" s="539">
        <f t="shared" si="16"/>
        <v>514.81728808660966</v>
      </c>
      <c r="K92" s="53"/>
      <c r="L92" s="53"/>
      <c r="M92" s="53"/>
      <c r="N92" s="398"/>
      <c r="O92" s="398"/>
      <c r="P92" s="398"/>
      <c r="Q92" s="398"/>
      <c r="R92" s="398"/>
      <c r="S92" s="398"/>
    </row>
    <row r="93" spans="1:19" s="32" customFormat="1" ht="13.5" thickTop="1">
      <c r="A93" s="398"/>
      <c r="B93" s="53"/>
      <c r="C93" s="53"/>
      <c r="D93" s="38" t="s">
        <v>259</v>
      </c>
      <c r="E93" s="560">
        <f t="shared" ref="E93:J93" si="17">SUM(E90:E92)</f>
        <v>0</v>
      </c>
      <c r="F93" s="550">
        <f t="shared" si="17"/>
        <v>80.343349507922213</v>
      </c>
      <c r="G93" s="550">
        <f t="shared" si="17"/>
        <v>401.71674753961111</v>
      </c>
      <c r="H93" s="550">
        <f t="shared" si="17"/>
        <v>0</v>
      </c>
      <c r="I93" s="550">
        <f t="shared" si="17"/>
        <v>221.12039621227865</v>
      </c>
      <c r="J93" s="550">
        <f t="shared" si="17"/>
        <v>1105.6019810613932</v>
      </c>
      <c r="K93" s="53"/>
      <c r="L93" s="53"/>
      <c r="M93" s="53"/>
      <c r="N93" s="398"/>
      <c r="O93" s="398"/>
      <c r="P93" s="398"/>
      <c r="Q93" s="398"/>
      <c r="R93" s="398"/>
      <c r="S93" s="398"/>
    </row>
    <row r="94" spans="1:19" s="32" customFormat="1" ht="15" thickBot="1">
      <c r="A94" s="398"/>
      <c r="B94" s="53"/>
      <c r="C94" s="880" t="str">
        <f>B343</f>
        <v>Revenue Growth</v>
      </c>
      <c r="D94" s="881"/>
      <c r="E94" s="539">
        <f t="shared" ref="E94:J94" si="18">E353</f>
        <v>0</v>
      </c>
      <c r="F94" s="539">
        <f t="shared" si="18"/>
        <v>27.641377545136631</v>
      </c>
      <c r="G94" s="539">
        <f t="shared" si="18"/>
        <v>138.20688772568315</v>
      </c>
      <c r="H94" s="539">
        <f t="shared" si="18"/>
        <v>0</v>
      </c>
      <c r="I94" s="539">
        <f t="shared" si="18"/>
        <v>76.074403072168593</v>
      </c>
      <c r="J94" s="539">
        <f t="shared" si="18"/>
        <v>380.37201536084297</v>
      </c>
      <c r="K94" s="53"/>
      <c r="L94" s="53"/>
      <c r="M94" s="53"/>
      <c r="N94" s="398"/>
      <c r="O94" s="398"/>
      <c r="P94" s="398"/>
      <c r="Q94" s="398"/>
      <c r="R94" s="398"/>
      <c r="S94" s="398"/>
    </row>
    <row r="95" spans="1:19" s="32" customFormat="1" ht="15" thickTop="1">
      <c r="A95" s="398"/>
      <c r="B95" s="53"/>
      <c r="C95" s="880" t="s">
        <v>259</v>
      </c>
      <c r="D95" s="881"/>
      <c r="E95" s="550">
        <f t="shared" ref="E95:J95" si="19">SUM(E84,E88,E94,E93)</f>
        <v>7.4700000000000006</v>
      </c>
      <c r="F95" s="550">
        <f t="shared" si="19"/>
        <v>209.91773842838921</v>
      </c>
      <c r="G95" s="550">
        <f t="shared" si="19"/>
        <v>1057.058692141946</v>
      </c>
      <c r="H95" s="550">
        <f t="shared" si="19"/>
        <v>20.558880975491938</v>
      </c>
      <c r="I95" s="550">
        <f t="shared" si="19"/>
        <v>577.7341096377113</v>
      </c>
      <c r="J95" s="550">
        <f t="shared" si="19"/>
        <v>2909.2294291640483</v>
      </c>
      <c r="K95" s="53"/>
      <c r="L95" s="53"/>
      <c r="M95" s="53"/>
      <c r="N95" s="398"/>
      <c r="O95" s="398"/>
      <c r="P95" s="398"/>
      <c r="Q95" s="398"/>
      <c r="R95" s="398"/>
      <c r="S95" s="398"/>
    </row>
    <row r="96" spans="1:19" s="32" customFormat="1">
      <c r="A96" s="398"/>
      <c r="B96" s="53"/>
      <c r="C96" s="53"/>
      <c r="D96" s="53"/>
      <c r="E96" s="595"/>
      <c r="F96" s="595"/>
      <c r="G96" s="595"/>
      <c r="H96" s="595"/>
      <c r="I96" s="595"/>
      <c r="J96" s="595"/>
      <c r="K96" s="53"/>
      <c r="L96" s="53"/>
      <c r="M96" s="53"/>
      <c r="N96" s="398"/>
      <c r="O96" s="398"/>
      <c r="P96" s="398"/>
      <c r="Q96" s="398"/>
      <c r="R96" s="398"/>
      <c r="S96" s="398"/>
    </row>
    <row r="97" spans="1:19">
      <c r="A97" s="398"/>
      <c r="B97" s="53"/>
      <c r="C97" s="53"/>
      <c r="D97" s="406"/>
      <c r="E97" s="596"/>
      <c r="F97" s="596"/>
      <c r="G97" s="596"/>
      <c r="H97" s="596"/>
      <c r="I97" s="596"/>
      <c r="J97" s="596"/>
      <c r="K97" s="594"/>
      <c r="L97" s="594"/>
      <c r="M97" s="594"/>
      <c r="N97" s="398"/>
      <c r="O97" s="398"/>
      <c r="P97" s="398"/>
      <c r="Q97" s="398"/>
      <c r="R97" s="398"/>
      <c r="S97" s="398"/>
    </row>
    <row r="98" spans="1:19" s="32" customFormat="1" ht="6" customHeight="1">
      <c r="A98" s="398"/>
      <c r="B98" s="398"/>
      <c r="C98" s="398"/>
      <c r="D98" s="640"/>
      <c r="E98" s="597"/>
      <c r="F98" s="597"/>
      <c r="G98" s="597"/>
      <c r="H98" s="597"/>
      <c r="I98" s="597"/>
      <c r="J98" s="597"/>
      <c r="K98" s="598"/>
      <c r="L98" s="598"/>
      <c r="M98" s="598"/>
      <c r="N98" s="398"/>
      <c r="O98" s="398"/>
      <c r="P98" s="398"/>
      <c r="Q98" s="398"/>
      <c r="R98" s="398"/>
      <c r="S98" s="398"/>
    </row>
    <row r="99" spans="1:19" ht="22.5">
      <c r="A99" s="29" t="s">
        <v>767</v>
      </c>
      <c r="B99" s="29"/>
      <c r="C99" s="29"/>
      <c r="D99" s="398"/>
      <c r="E99" s="398"/>
      <c r="F99" s="398"/>
      <c r="G99" s="398"/>
      <c r="H99" s="398"/>
      <c r="I99" s="398"/>
      <c r="J99" s="398"/>
      <c r="K99" s="398"/>
      <c r="L99" s="398"/>
      <c r="M99" s="398"/>
      <c r="N99" s="398"/>
      <c r="O99" s="398"/>
      <c r="P99" s="398"/>
      <c r="Q99" s="398"/>
      <c r="R99" s="398"/>
      <c r="S99" s="398"/>
    </row>
    <row r="100" spans="1:19" s="105" customFormat="1" ht="36" customHeight="1">
      <c r="A100" s="53"/>
      <c r="B100" s="703"/>
      <c r="C100" s="797" t="s">
        <v>768</v>
      </c>
      <c r="D100" s="797"/>
      <c r="E100" s="797"/>
      <c r="F100" s="797"/>
      <c r="G100" s="797"/>
      <c r="H100" s="797"/>
      <c r="I100" s="797"/>
      <c r="J100" s="797"/>
      <c r="K100" s="797"/>
      <c r="L100" s="797"/>
      <c r="M100" s="703"/>
      <c r="N100" s="398"/>
      <c r="O100" s="398"/>
      <c r="P100" s="398"/>
      <c r="Q100" s="398"/>
      <c r="R100" s="398"/>
      <c r="S100" s="398"/>
    </row>
    <row r="101" spans="1:19" s="59" customFormat="1" ht="14.25">
      <c r="A101" s="398"/>
      <c r="B101" s="53"/>
      <c r="C101" s="706" t="s">
        <v>769</v>
      </c>
      <c r="D101" s="597"/>
      <c r="E101" s="597"/>
      <c r="F101" s="597"/>
      <c r="G101" s="597"/>
      <c r="H101" s="597"/>
      <c r="I101" s="597"/>
      <c r="J101" s="597"/>
      <c r="K101" s="398"/>
      <c r="L101" s="398"/>
      <c r="M101" s="398"/>
      <c r="N101" s="398"/>
      <c r="O101" s="398"/>
      <c r="P101" s="398"/>
      <c r="Q101" s="398"/>
      <c r="R101" s="398"/>
      <c r="S101" s="398"/>
    </row>
    <row r="102" spans="1:19" s="75" customFormat="1">
      <c r="A102" s="398"/>
      <c r="B102" s="53"/>
      <c r="C102" s="53"/>
      <c r="D102" s="398"/>
      <c r="E102" s="398"/>
      <c r="F102" s="680" t="s">
        <v>770</v>
      </c>
      <c r="G102" s="671" t="s">
        <v>771</v>
      </c>
      <c r="H102" s="398"/>
      <c r="I102" s="53"/>
      <c r="J102" s="53"/>
      <c r="K102" s="53"/>
      <c r="L102" s="53"/>
      <c r="M102" s="53"/>
      <c r="N102" s="398"/>
      <c r="O102" s="398"/>
      <c r="P102" s="398"/>
      <c r="Q102" s="398"/>
      <c r="R102" s="398"/>
      <c r="S102" s="398"/>
    </row>
    <row r="103" spans="1:19" s="75" customFormat="1">
      <c r="A103" s="398"/>
      <c r="B103" s="53"/>
      <c r="C103" s="53"/>
      <c r="D103" s="259" t="s">
        <v>772</v>
      </c>
      <c r="E103" s="705">
        <f>Profile!D63</f>
        <v>6</v>
      </c>
      <c r="F103" s="244">
        <f>Profile!G60</f>
        <v>43709</v>
      </c>
      <c r="G103" s="244">
        <f>DATE(YEAR(Profile!G60),MONTH(Profile!G60)+E103,DAY(Profile!G60))</f>
        <v>43891</v>
      </c>
      <c r="H103" s="398"/>
      <c r="I103" s="53"/>
      <c r="J103" s="53"/>
      <c r="K103" s="53"/>
      <c r="L103" s="53"/>
      <c r="M103" s="53"/>
      <c r="N103" s="398"/>
      <c r="O103" s="398"/>
      <c r="P103" s="398"/>
      <c r="Q103" s="398"/>
      <c r="R103" s="398"/>
      <c r="S103" s="398"/>
    </row>
    <row r="104" spans="1:19" s="75" customFormat="1" ht="25.5">
      <c r="A104" s="398"/>
      <c r="B104" s="53"/>
      <c r="C104" s="53"/>
      <c r="D104" s="259" t="s">
        <v>773</v>
      </c>
      <c r="E104" s="705">
        <f>Duration</f>
        <v>5</v>
      </c>
      <c r="F104" s="251">
        <f>G103</f>
        <v>43891</v>
      </c>
      <c r="G104" s="251">
        <f>DATE(YEAR(G103)+E104,MONTH(G103),DAY(G103))</f>
        <v>45717</v>
      </c>
      <c r="H104" s="398"/>
      <c r="I104" s="53"/>
      <c r="J104" s="53"/>
      <c r="K104" s="53"/>
      <c r="L104" s="53"/>
      <c r="M104" s="53"/>
      <c r="N104" s="398"/>
      <c r="O104" s="398"/>
      <c r="P104" s="398"/>
      <c r="Q104" s="398"/>
      <c r="R104" s="398"/>
      <c r="S104" s="398"/>
    </row>
    <row r="105" spans="1:19">
      <c r="A105" s="398"/>
      <c r="B105" s="53"/>
      <c r="C105" s="53"/>
      <c r="D105" s="259" t="s">
        <v>774</v>
      </c>
      <c r="E105" s="245">
        <f>IF(E106="NA","NA",DATE(YEAR(ROI!L135),MONTH(ROI!L135)+E106,DAY(ROI!L135)+(E106-ROUNDDOWN(E106,0))*30))</f>
        <v>44058</v>
      </c>
      <c r="F105" s="398"/>
      <c r="G105" s="398"/>
      <c r="H105" s="398"/>
      <c r="I105" s="53"/>
      <c r="J105" s="53"/>
      <c r="K105" s="53"/>
      <c r="L105" s="53"/>
      <c r="M105" s="53"/>
      <c r="N105" s="398"/>
      <c r="O105" s="398"/>
      <c r="P105" s="398"/>
      <c r="Q105" s="398"/>
      <c r="R105" s="398"/>
      <c r="S105" s="398"/>
    </row>
    <row r="106" spans="1:19">
      <c r="A106" s="398"/>
      <c r="B106" s="53"/>
      <c r="C106" s="53"/>
      <c r="D106" s="226" t="s">
        <v>775</v>
      </c>
      <c r="E106" s="246">
        <f>IF(SUM(ROI!R134:R144)=0,"NA",SUM(ROI!R134:R144))</f>
        <v>5.4856325121631979</v>
      </c>
      <c r="F106" s="260" t="s">
        <v>120</v>
      </c>
      <c r="G106" s="398"/>
      <c r="H106" s="398"/>
      <c r="I106" s="53"/>
      <c r="J106" s="53"/>
      <c r="K106" s="53"/>
      <c r="L106" s="53"/>
      <c r="M106" s="53"/>
      <c r="N106" s="398"/>
      <c r="O106" s="398"/>
      <c r="P106" s="398"/>
      <c r="Q106" s="398"/>
      <c r="R106" s="398"/>
      <c r="S106" s="398"/>
    </row>
    <row r="107" spans="1:19" ht="25.5">
      <c r="A107" s="398"/>
      <c r="B107" s="53"/>
      <c r="C107" s="53"/>
      <c r="D107" s="259" t="s">
        <v>776</v>
      </c>
      <c r="E107" s="246">
        <f>IF(E106="NA","NA",E106+E103/12)</f>
        <v>5.9856325121631979</v>
      </c>
      <c r="F107" s="260" t="s">
        <v>120</v>
      </c>
      <c r="G107" s="398"/>
      <c r="H107" s="398"/>
      <c r="I107" s="53"/>
      <c r="J107" s="53"/>
      <c r="K107" s="53"/>
      <c r="L107" s="53"/>
      <c r="M107" s="53"/>
      <c r="N107" s="398"/>
      <c r="O107" s="398"/>
      <c r="P107" s="398"/>
      <c r="Q107" s="398"/>
      <c r="R107" s="398"/>
      <c r="S107" s="398"/>
    </row>
    <row r="108" spans="1:19" s="59" customFormat="1">
      <c r="A108" s="398"/>
      <c r="B108" s="53"/>
      <c r="C108" s="53"/>
      <c r="D108" s="696" t="s">
        <v>777</v>
      </c>
      <c r="E108" s="247">
        <f>GrowthRate</f>
        <v>0</v>
      </c>
      <c r="F108" s="597"/>
      <c r="G108" s="597"/>
      <c r="H108" s="597"/>
      <c r="I108" s="597"/>
      <c r="J108" s="597"/>
      <c r="K108" s="398"/>
      <c r="L108" s="398"/>
      <c r="M108" s="398"/>
      <c r="N108" s="398"/>
      <c r="O108" s="398"/>
      <c r="P108" s="398"/>
      <c r="Q108" s="398"/>
      <c r="R108" s="398"/>
      <c r="S108" s="398"/>
    </row>
    <row r="109" spans="1:19" s="59" customFormat="1">
      <c r="A109" s="398"/>
      <c r="B109" s="53"/>
      <c r="C109" s="53"/>
      <c r="D109" s="597"/>
      <c r="E109" s="597"/>
      <c r="F109" s="597"/>
      <c r="G109" s="597"/>
      <c r="H109" s="597"/>
      <c r="I109" s="597"/>
      <c r="J109" s="597"/>
      <c r="K109" s="398"/>
      <c r="L109" s="398"/>
      <c r="M109" s="398"/>
      <c r="N109" s="398"/>
      <c r="O109" s="398"/>
      <c r="P109" s="398"/>
      <c r="Q109" s="398"/>
      <c r="R109" s="398"/>
      <c r="S109" s="398"/>
    </row>
    <row r="110" spans="1:19" s="75" customFormat="1">
      <c r="A110" s="398"/>
      <c r="B110" s="53"/>
      <c r="C110" s="53"/>
      <c r="D110" s="53"/>
      <c r="E110" s="53"/>
      <c r="F110" s="53"/>
      <c r="G110" s="53"/>
      <c r="H110" s="53"/>
      <c r="I110" s="53"/>
      <c r="J110" s="53"/>
      <c r="K110" s="53"/>
      <c r="L110" s="53"/>
      <c r="M110" s="53"/>
      <c r="N110" s="398"/>
      <c r="O110" s="398"/>
      <c r="P110" s="398"/>
      <c r="Q110" s="398"/>
      <c r="R110" s="398"/>
      <c r="S110" s="398"/>
    </row>
    <row r="111" spans="1:19" s="105" customFormat="1">
      <c r="A111" s="398"/>
      <c r="B111" s="53"/>
      <c r="C111" s="53"/>
      <c r="D111" s="53"/>
      <c r="E111" s="53"/>
      <c r="F111" s="53"/>
      <c r="G111" s="53"/>
      <c r="H111" s="53"/>
      <c r="I111" s="53"/>
      <c r="J111" s="53"/>
      <c r="K111" s="53"/>
      <c r="L111" s="53"/>
      <c r="M111" s="53"/>
      <c r="N111" s="398"/>
      <c r="O111" s="398"/>
      <c r="P111" s="270"/>
      <c r="Q111" s="398"/>
      <c r="R111" s="398"/>
      <c r="S111" s="398"/>
    </row>
    <row r="112" spans="1:19" s="105" customFormat="1">
      <c r="A112" s="398"/>
      <c r="B112" s="53"/>
      <c r="C112" s="53"/>
      <c r="D112" s="53"/>
      <c r="E112" s="53"/>
      <c r="F112" s="53"/>
      <c r="G112" s="53"/>
      <c r="H112" s="53"/>
      <c r="I112" s="53"/>
      <c r="J112" s="53"/>
      <c r="K112" s="53"/>
      <c r="L112" s="53"/>
      <c r="M112" s="53"/>
      <c r="N112" s="398"/>
      <c r="O112" s="398"/>
      <c r="P112" s="398"/>
      <c r="Q112" s="398"/>
      <c r="R112" s="398"/>
      <c r="S112" s="398"/>
    </row>
    <row r="113" spans="1:19" s="105" customFormat="1">
      <c r="A113" s="398"/>
      <c r="B113" s="53"/>
      <c r="C113" s="53"/>
      <c r="D113" s="53"/>
      <c r="E113" s="53"/>
      <c r="F113" s="53"/>
      <c r="G113" s="53"/>
      <c r="H113" s="53"/>
      <c r="I113" s="53"/>
      <c r="J113" s="53"/>
      <c r="K113" s="53"/>
      <c r="L113" s="53"/>
      <c r="M113" s="53"/>
      <c r="N113" s="398"/>
      <c r="O113" s="37" t="s">
        <v>232</v>
      </c>
      <c r="P113" s="270" t="s">
        <v>778</v>
      </c>
      <c r="Q113" s="270" t="s">
        <v>779</v>
      </c>
      <c r="R113" s="398"/>
      <c r="S113" s="398"/>
    </row>
    <row r="114" spans="1:19" s="105" customFormat="1">
      <c r="A114" s="398"/>
      <c r="B114" s="53"/>
      <c r="C114" s="53"/>
      <c r="D114" s="53"/>
      <c r="E114" s="53"/>
      <c r="F114" s="53"/>
      <c r="G114" s="53"/>
      <c r="H114" s="53"/>
      <c r="I114" s="53"/>
      <c r="J114" s="53"/>
      <c r="K114" s="53"/>
      <c r="L114" s="53"/>
      <c r="M114" s="53"/>
      <c r="N114" s="398"/>
      <c r="O114" s="270" t="s">
        <v>10</v>
      </c>
      <c r="P114" s="181" t="str">
        <f>A99</f>
        <v>Cash Flow</v>
      </c>
      <c r="Q114" s="181" t="str">
        <f>K133</f>
        <v>Cumulative Cash Flow</v>
      </c>
      <c r="R114" s="398"/>
      <c r="S114" s="398"/>
    </row>
    <row r="115" spans="1:19" s="105" customFormat="1">
      <c r="A115" s="398"/>
      <c r="B115" s="53"/>
      <c r="C115" s="53"/>
      <c r="D115" s="53"/>
      <c r="E115" s="53"/>
      <c r="F115" s="53"/>
      <c r="G115" s="53"/>
      <c r="H115" s="53"/>
      <c r="I115" s="53"/>
      <c r="J115" s="53"/>
      <c r="K115" s="53"/>
      <c r="L115" s="53"/>
      <c r="M115" s="53"/>
      <c r="N115" s="398"/>
      <c r="O115" s="270" t="s">
        <v>235</v>
      </c>
      <c r="P115" s="252" t="s">
        <v>780</v>
      </c>
      <c r="Q115" s="252" t="s">
        <v>781</v>
      </c>
      <c r="R115" s="398"/>
      <c r="S115" s="398"/>
    </row>
    <row r="116" spans="1:19" s="105" customFormat="1">
      <c r="A116" s="398"/>
      <c r="B116" s="53"/>
      <c r="C116" s="53"/>
      <c r="D116" s="53"/>
      <c r="E116" s="53"/>
      <c r="F116" s="53"/>
      <c r="G116" s="53"/>
      <c r="H116" s="53"/>
      <c r="I116" s="53"/>
      <c r="J116" s="53"/>
      <c r="K116" s="53"/>
      <c r="L116" s="53"/>
      <c r="M116" s="53"/>
      <c r="N116" s="398"/>
      <c r="O116" s="270" t="s">
        <v>238</v>
      </c>
      <c r="P116" s="210"/>
      <c r="Q116" s="210"/>
      <c r="R116" s="398"/>
      <c r="S116" s="398"/>
    </row>
    <row r="117" spans="1:19" s="105" customFormat="1">
      <c r="A117" s="398"/>
      <c r="B117" s="53"/>
      <c r="C117" s="53"/>
      <c r="D117" s="53"/>
      <c r="E117" s="53"/>
      <c r="F117" s="53"/>
      <c r="G117" s="53"/>
      <c r="H117" s="53"/>
      <c r="I117" s="53"/>
      <c r="J117" s="53"/>
      <c r="K117" s="53"/>
      <c r="L117" s="53"/>
      <c r="M117" s="53"/>
      <c r="N117" s="398"/>
      <c r="O117" s="77" t="s">
        <v>239</v>
      </c>
      <c r="P117" s="258" t="s">
        <v>753</v>
      </c>
      <c r="Q117" s="252" t="s">
        <v>754</v>
      </c>
      <c r="R117" s="398"/>
      <c r="S117" s="398"/>
    </row>
    <row r="118" spans="1:19" s="75" customFormat="1">
      <c r="A118" s="398"/>
      <c r="B118" s="53"/>
      <c r="C118" s="53"/>
      <c r="D118" s="53"/>
      <c r="E118" s="53"/>
      <c r="F118" s="53"/>
      <c r="G118" s="53"/>
      <c r="H118" s="53"/>
      <c r="I118" s="53"/>
      <c r="J118" s="53"/>
      <c r="K118" s="53"/>
      <c r="L118" s="53"/>
      <c r="M118" s="53"/>
      <c r="N118" s="398"/>
      <c r="O118" s="398"/>
      <c r="P118" s="398"/>
      <c r="Q118" s="398"/>
      <c r="R118" s="398"/>
      <c r="S118" s="398"/>
    </row>
    <row r="119" spans="1:19" s="75" customFormat="1">
      <c r="A119" s="398"/>
      <c r="B119" s="53"/>
      <c r="C119" s="53"/>
      <c r="D119" s="398"/>
      <c r="E119" s="398"/>
      <c r="F119" s="398"/>
      <c r="G119" s="398"/>
      <c r="H119" s="398"/>
      <c r="I119" s="53"/>
      <c r="J119" s="53"/>
      <c r="K119" s="53"/>
      <c r="L119" s="53"/>
      <c r="M119" s="53"/>
      <c r="N119" s="398"/>
      <c r="O119" s="398"/>
      <c r="P119" s="398"/>
      <c r="Q119" s="273" t="s">
        <v>782</v>
      </c>
      <c r="R119" s="398"/>
      <c r="S119" s="398"/>
    </row>
    <row r="120" spans="1:19">
      <c r="A120" s="398"/>
      <c r="B120" s="53"/>
      <c r="C120" s="53"/>
      <c r="D120" s="398"/>
      <c r="E120" s="398"/>
      <c r="F120" s="398"/>
      <c r="G120" s="398"/>
      <c r="H120" s="398"/>
      <c r="I120" s="53"/>
      <c r="J120" s="53"/>
      <c r="K120" s="53"/>
      <c r="L120" s="53"/>
      <c r="M120" s="53"/>
      <c r="N120" s="398"/>
      <c r="O120" s="398"/>
      <c r="P120" s="398"/>
      <c r="Q120" s="273" t="s">
        <v>783</v>
      </c>
      <c r="R120" s="398"/>
      <c r="S120" s="398"/>
    </row>
    <row r="121" spans="1:19">
      <c r="A121" s="398"/>
      <c r="B121" s="53"/>
      <c r="C121" s="53"/>
      <c r="D121" s="398"/>
      <c r="E121" s="398"/>
      <c r="F121" s="398"/>
      <c r="G121" s="398"/>
      <c r="H121" s="398"/>
      <c r="I121" s="53"/>
      <c r="J121" s="53"/>
      <c r="K121" s="53"/>
      <c r="L121" s="53"/>
      <c r="M121" s="53"/>
      <c r="N121" s="398"/>
      <c r="O121" s="398"/>
      <c r="P121" s="398"/>
      <c r="Q121" s="242" t="s">
        <v>784</v>
      </c>
      <c r="R121" s="398"/>
      <c r="S121" s="398"/>
    </row>
    <row r="122" spans="1:19">
      <c r="A122" s="398"/>
      <c r="B122" s="53"/>
      <c r="C122" s="53"/>
      <c r="D122" s="398"/>
      <c r="E122" s="253"/>
      <c r="F122" s="398"/>
      <c r="G122" s="398"/>
      <c r="H122" s="398"/>
      <c r="I122" s="53"/>
      <c r="J122" s="53"/>
      <c r="K122" s="53"/>
      <c r="L122" s="53"/>
      <c r="M122" s="53"/>
      <c r="N122" s="398"/>
      <c r="O122" s="398"/>
      <c r="P122" s="398"/>
      <c r="Q122" s="398"/>
      <c r="R122" s="398"/>
      <c r="S122" s="398"/>
    </row>
    <row r="123" spans="1:19">
      <c r="A123" s="398"/>
      <c r="B123" s="53"/>
      <c r="C123" s="53"/>
      <c r="D123" s="398"/>
      <c r="E123" s="398"/>
      <c r="F123" s="398"/>
      <c r="G123" s="398"/>
      <c r="H123" s="398"/>
      <c r="I123" s="53"/>
      <c r="J123" s="53"/>
      <c r="K123" s="53"/>
      <c r="L123" s="53"/>
      <c r="M123" s="53"/>
      <c r="N123" s="398"/>
      <c r="O123" s="398"/>
      <c r="P123" s="398"/>
      <c r="Q123" s="398"/>
      <c r="R123" s="398"/>
      <c r="S123" s="398"/>
    </row>
    <row r="124" spans="1:19">
      <c r="A124" s="398"/>
      <c r="B124" s="53"/>
      <c r="C124" s="53"/>
      <c r="D124" s="53"/>
      <c r="E124" s="53"/>
      <c r="F124" s="53"/>
      <c r="G124" s="53"/>
      <c r="H124" s="53"/>
      <c r="I124" s="53"/>
      <c r="J124" s="53"/>
      <c r="K124" s="53"/>
      <c r="L124" s="53"/>
      <c r="M124" s="53"/>
      <c r="N124" s="398"/>
      <c r="O124" s="398"/>
      <c r="P124" s="398"/>
      <c r="Q124" s="398"/>
      <c r="R124" s="398"/>
      <c r="S124" s="398"/>
    </row>
    <row r="125" spans="1:19">
      <c r="A125" s="398"/>
      <c r="B125" s="53"/>
      <c r="C125" s="53"/>
      <c r="D125" s="53"/>
      <c r="E125" s="53"/>
      <c r="F125" s="53"/>
      <c r="G125" s="53"/>
      <c r="H125" s="53"/>
      <c r="I125" s="53"/>
      <c r="J125" s="53"/>
      <c r="K125" s="53"/>
      <c r="L125" s="53"/>
      <c r="M125" s="53"/>
      <c r="N125" s="398"/>
      <c r="O125" s="398"/>
      <c r="P125" s="398"/>
      <c r="Q125" s="398"/>
      <c r="R125" s="398"/>
      <c r="S125" s="398"/>
    </row>
    <row r="126" spans="1:19">
      <c r="A126" s="398"/>
      <c r="B126" s="53"/>
      <c r="C126" s="53"/>
      <c r="D126" s="53"/>
      <c r="E126" s="53"/>
      <c r="F126" s="53"/>
      <c r="G126" s="53"/>
      <c r="H126" s="53"/>
      <c r="I126" s="53"/>
      <c r="J126" s="53"/>
      <c r="K126" s="53"/>
      <c r="L126" s="53"/>
      <c r="M126" s="53"/>
      <c r="N126" s="398"/>
      <c r="O126" s="398"/>
      <c r="P126" s="398"/>
      <c r="Q126" s="398"/>
      <c r="R126" s="398"/>
      <c r="S126" s="398"/>
    </row>
    <row r="127" spans="1:19">
      <c r="A127" s="398"/>
      <c r="B127" s="53"/>
      <c r="C127" s="53"/>
      <c r="D127" s="53"/>
      <c r="E127" s="53"/>
      <c r="F127" s="53"/>
      <c r="G127" s="53"/>
      <c r="H127" s="53"/>
      <c r="I127" s="53"/>
      <c r="J127" s="53"/>
      <c r="K127" s="53"/>
      <c r="L127" s="53"/>
      <c r="M127" s="53"/>
      <c r="N127" s="398"/>
      <c r="O127" s="398"/>
      <c r="P127" s="398"/>
      <c r="Q127" s="398"/>
      <c r="R127" s="398"/>
      <c r="S127" s="398"/>
    </row>
    <row r="128" spans="1:19">
      <c r="A128" s="398"/>
      <c r="B128" s="53"/>
      <c r="C128" s="53"/>
      <c r="D128" s="53"/>
      <c r="E128" s="53"/>
      <c r="F128" s="53"/>
      <c r="G128" s="53"/>
      <c r="H128" s="53"/>
      <c r="I128" s="53"/>
      <c r="J128" s="53"/>
      <c r="K128" s="53"/>
      <c r="L128" s="53"/>
      <c r="M128" s="53"/>
      <c r="N128" s="398"/>
      <c r="O128" s="398"/>
      <c r="P128" s="398"/>
      <c r="Q128" s="398"/>
      <c r="R128" s="398"/>
      <c r="S128" s="398"/>
    </row>
    <row r="129" spans="1:19">
      <c r="A129" s="398"/>
      <c r="B129" s="53"/>
      <c r="C129" s="53"/>
      <c r="D129" s="53"/>
      <c r="E129" s="53"/>
      <c r="F129" s="53"/>
      <c r="G129" s="53"/>
      <c r="H129" s="53"/>
      <c r="I129" s="53"/>
      <c r="J129" s="53"/>
      <c r="K129" s="53"/>
      <c r="L129" s="53"/>
      <c r="M129" s="53"/>
      <c r="N129" s="398"/>
      <c r="O129" s="398"/>
      <c r="P129" s="398"/>
      <c r="Q129" s="398"/>
      <c r="R129" s="398"/>
      <c r="S129" s="398"/>
    </row>
    <row r="130" spans="1:19">
      <c r="A130" s="398"/>
      <c r="B130" s="53"/>
      <c r="C130" s="53"/>
      <c r="D130" s="53"/>
      <c r="E130" s="53"/>
      <c r="F130" s="53"/>
      <c r="G130" s="53"/>
      <c r="H130" s="53"/>
      <c r="I130" s="53"/>
      <c r="J130" s="53"/>
      <c r="K130" s="53"/>
      <c r="L130" s="53"/>
      <c r="M130" s="53"/>
      <c r="N130" s="398"/>
      <c r="O130" s="398"/>
      <c r="P130" s="398"/>
      <c r="Q130" s="398"/>
      <c r="R130" s="398"/>
      <c r="S130" s="398"/>
    </row>
    <row r="131" spans="1:19">
      <c r="A131" s="398"/>
      <c r="B131" s="53"/>
      <c r="C131" s="53"/>
      <c r="D131" s="53"/>
      <c r="E131" s="53"/>
      <c r="F131" s="53"/>
      <c r="G131" s="53"/>
      <c r="H131" s="53"/>
      <c r="I131" s="53"/>
      <c r="J131" s="53"/>
      <c r="K131" s="53"/>
      <c r="L131" s="53"/>
      <c r="M131" s="53"/>
      <c r="N131" s="398"/>
      <c r="O131" s="398"/>
      <c r="P131" s="398"/>
      <c r="Q131" s="398"/>
      <c r="R131" s="398"/>
      <c r="S131" s="398"/>
    </row>
    <row r="132" spans="1:19" s="105" customFormat="1" ht="14.25">
      <c r="A132" s="398"/>
      <c r="B132" s="53"/>
      <c r="C132" s="706" t="s">
        <v>785</v>
      </c>
      <c r="D132" s="597"/>
      <c r="E132" s="597"/>
      <c r="F132" s="597"/>
      <c r="G132" s="597"/>
      <c r="H132" s="597"/>
      <c r="I132" s="597"/>
      <c r="J132" s="597"/>
      <c r="K132" s="398"/>
      <c r="L132" s="398"/>
      <c r="M132" s="398"/>
      <c r="N132" s="398"/>
      <c r="O132" s="398"/>
      <c r="P132" s="398"/>
      <c r="Q132" s="398"/>
      <c r="R132" s="398"/>
      <c r="S132" s="398"/>
    </row>
    <row r="133" spans="1:19" s="75" customFormat="1" ht="38.25">
      <c r="A133" s="398"/>
      <c r="B133" s="53"/>
      <c r="C133" s="53"/>
      <c r="D133" s="691" t="str">
        <f>P117</f>
        <v>Time Period</v>
      </c>
      <c r="E133" s="680" t="s">
        <v>18</v>
      </c>
      <c r="F133" s="680" t="s">
        <v>786</v>
      </c>
      <c r="G133" s="680" t="s">
        <v>787</v>
      </c>
      <c r="H133" s="680" t="s">
        <v>788</v>
      </c>
      <c r="I133" s="680" t="s">
        <v>789</v>
      </c>
      <c r="J133" s="680" t="s">
        <v>734</v>
      </c>
      <c r="K133" s="680" t="s">
        <v>790</v>
      </c>
      <c r="L133" s="671" t="s">
        <v>770</v>
      </c>
      <c r="M133" s="53"/>
      <c r="N133" s="398"/>
      <c r="O133" s="299" t="s">
        <v>771</v>
      </c>
      <c r="P133" s="299" t="s">
        <v>791</v>
      </c>
      <c r="Q133" s="299" t="s">
        <v>792</v>
      </c>
      <c r="R133" s="299" t="s">
        <v>784</v>
      </c>
      <c r="S133" s="398"/>
    </row>
    <row r="134" spans="1:19" s="75" customFormat="1">
      <c r="A134" s="398"/>
      <c r="B134" s="53"/>
      <c r="C134" s="53"/>
      <c r="D134" s="261" t="s">
        <v>793</v>
      </c>
      <c r="E134" s="592">
        <f>-E70</f>
        <v>-94.356345249593844</v>
      </c>
      <c r="F134" s="398"/>
      <c r="G134" s="398"/>
      <c r="H134" s="398"/>
      <c r="I134" s="398"/>
      <c r="J134" s="593">
        <f t="shared" ref="J134:J144" si="20">H134+F134+E134</f>
        <v>-94.356345249593844</v>
      </c>
      <c r="K134" s="593">
        <f>J134</f>
        <v>-94.356345249593844</v>
      </c>
      <c r="L134" s="244">
        <f>F103</f>
        <v>43709</v>
      </c>
      <c r="M134" s="53"/>
      <c r="N134" s="398"/>
      <c r="O134" s="251">
        <f>ROI!G103</f>
        <v>43891</v>
      </c>
      <c r="P134" s="539">
        <f t="shared" ref="P134:P144" si="21">IF(K134&lt;0,K134,0)</f>
        <v>-94.356345249593844</v>
      </c>
      <c r="Q134" s="539">
        <f t="shared" ref="Q134:Q144" si="22">IF(K134&gt;0,K134,0)</f>
        <v>0</v>
      </c>
      <c r="R134" s="107"/>
      <c r="S134" s="398"/>
    </row>
    <row r="135" spans="1:19" s="75" customFormat="1">
      <c r="A135" s="398"/>
      <c r="B135" s="53"/>
      <c r="C135" s="53"/>
      <c r="D135" s="262">
        <v>1</v>
      </c>
      <c r="E135" s="573">
        <f t="shared" ref="E135:E144" si="23">IF(Duration&gt;=$D135,-$F$70*(1+GrowthRate)^($D135-1),)</f>
        <v>-10.980156352019755</v>
      </c>
      <c r="F135" s="539">
        <f>E95</f>
        <v>7.4700000000000006</v>
      </c>
      <c r="G135" s="171">
        <f>IF(Duration&gt;=$D135,Profile!D66,0)</f>
        <v>1</v>
      </c>
      <c r="H135" s="539">
        <f t="shared" ref="H135:H144" si="24">$F$95*(1+GrowthRate)^(D135-1)*G135</f>
        <v>209.91773842838921</v>
      </c>
      <c r="I135" s="539">
        <f t="shared" ref="I135:I144" si="25">H135+F135</f>
        <v>217.38773842838921</v>
      </c>
      <c r="J135" s="539">
        <f t="shared" si="20"/>
        <v>206.40758207636947</v>
      </c>
      <c r="K135" s="539">
        <f t="shared" ref="K135:K144" si="26">K134+J135</f>
        <v>112.05123682677562</v>
      </c>
      <c r="L135" s="251">
        <f>ROI!G103</f>
        <v>43891</v>
      </c>
      <c r="M135" s="53"/>
      <c r="N135" s="398"/>
      <c r="O135" s="251">
        <f t="shared" ref="O135:O144" si="27">DATE(YEAR(O134)+1,MONTH(O134),DAY(O134))</f>
        <v>44256</v>
      </c>
      <c r="P135" s="539">
        <f t="shared" si="21"/>
        <v>0</v>
      </c>
      <c r="Q135" s="539">
        <f t="shared" si="22"/>
        <v>112.05123682677562</v>
      </c>
      <c r="R135" s="104">
        <f t="shared" ref="R135:R144" si="28">IF(AND(K135&gt;=0,K134&lt;0),-K134/(K135-K134)*12+12*(D135-1),0)</f>
        <v>5.4856325121631979</v>
      </c>
      <c r="S135" s="398"/>
    </row>
    <row r="136" spans="1:19" s="75" customFormat="1">
      <c r="A136" s="398"/>
      <c r="B136" s="53"/>
      <c r="C136" s="53"/>
      <c r="D136" s="262">
        <v>2</v>
      </c>
      <c r="E136" s="573">
        <f t="shared" si="23"/>
        <v>-10.980156352019755</v>
      </c>
      <c r="F136" s="398"/>
      <c r="G136" s="171">
        <f>IF(Duration&gt;=$D136,Profile!D67,0)</f>
        <v>1</v>
      </c>
      <c r="H136" s="539">
        <f t="shared" si="24"/>
        <v>209.91773842838921</v>
      </c>
      <c r="I136" s="539">
        <f t="shared" si="25"/>
        <v>209.91773842838921</v>
      </c>
      <c r="J136" s="539">
        <f t="shared" si="20"/>
        <v>198.93758207636947</v>
      </c>
      <c r="K136" s="539">
        <f t="shared" si="26"/>
        <v>310.9888189031451</v>
      </c>
      <c r="L136" s="251">
        <f t="shared" ref="L136:L144" si="29">DATE(YEAR(L135)+1,MONTH(L135),DAY(L135))</f>
        <v>44256</v>
      </c>
      <c r="M136" s="53"/>
      <c r="N136" s="398"/>
      <c r="O136" s="251">
        <f t="shared" si="27"/>
        <v>44621</v>
      </c>
      <c r="P136" s="539">
        <f t="shared" si="21"/>
        <v>0</v>
      </c>
      <c r="Q136" s="539">
        <f t="shared" si="22"/>
        <v>310.9888189031451</v>
      </c>
      <c r="R136" s="104">
        <f t="shared" si="28"/>
        <v>0</v>
      </c>
      <c r="S136" s="398"/>
    </row>
    <row r="137" spans="1:19" s="75" customFormat="1">
      <c r="A137" s="398"/>
      <c r="B137" s="53"/>
      <c r="C137" s="53"/>
      <c r="D137" s="262">
        <v>3</v>
      </c>
      <c r="E137" s="573">
        <f t="shared" si="23"/>
        <v>-10.980156352019755</v>
      </c>
      <c r="F137" s="398"/>
      <c r="G137" s="171">
        <f>IF(Duration&gt;=$D137,Profile!D68,0)</f>
        <v>1</v>
      </c>
      <c r="H137" s="539">
        <f t="shared" si="24"/>
        <v>209.91773842838921</v>
      </c>
      <c r="I137" s="539">
        <f t="shared" si="25"/>
        <v>209.91773842838921</v>
      </c>
      <c r="J137" s="539">
        <f t="shared" si="20"/>
        <v>198.93758207636947</v>
      </c>
      <c r="K137" s="539">
        <f t="shared" si="26"/>
        <v>509.9264009795146</v>
      </c>
      <c r="L137" s="251">
        <f t="shared" si="29"/>
        <v>44621</v>
      </c>
      <c r="M137" s="53"/>
      <c r="N137" s="398"/>
      <c r="O137" s="251">
        <f t="shared" si="27"/>
        <v>44986</v>
      </c>
      <c r="P137" s="539">
        <f t="shared" si="21"/>
        <v>0</v>
      </c>
      <c r="Q137" s="539">
        <f t="shared" si="22"/>
        <v>509.9264009795146</v>
      </c>
      <c r="R137" s="104">
        <f t="shared" si="28"/>
        <v>0</v>
      </c>
      <c r="S137" s="398"/>
    </row>
    <row r="138" spans="1:19" s="75" customFormat="1">
      <c r="A138" s="398"/>
      <c r="B138" s="53"/>
      <c r="C138" s="53"/>
      <c r="D138" s="262">
        <v>4</v>
      </c>
      <c r="E138" s="573">
        <f t="shared" si="23"/>
        <v>-10.980156352019755</v>
      </c>
      <c r="F138" s="398"/>
      <c r="G138" s="171">
        <f t="shared" ref="G138:G144" si="30">IF(Duration&gt;=$D138,1,0)</f>
        <v>1</v>
      </c>
      <c r="H138" s="539">
        <f t="shared" si="24"/>
        <v>209.91773842838921</v>
      </c>
      <c r="I138" s="539">
        <f t="shared" si="25"/>
        <v>209.91773842838921</v>
      </c>
      <c r="J138" s="539">
        <f t="shared" si="20"/>
        <v>198.93758207636947</v>
      </c>
      <c r="K138" s="539">
        <f t="shared" si="26"/>
        <v>708.86398305588409</v>
      </c>
      <c r="L138" s="251">
        <f t="shared" si="29"/>
        <v>44986</v>
      </c>
      <c r="M138" s="53"/>
      <c r="N138" s="398"/>
      <c r="O138" s="251">
        <f t="shared" si="27"/>
        <v>45352</v>
      </c>
      <c r="P138" s="539">
        <f t="shared" si="21"/>
        <v>0</v>
      </c>
      <c r="Q138" s="539">
        <f t="shared" si="22"/>
        <v>708.86398305588409</v>
      </c>
      <c r="R138" s="104">
        <f t="shared" si="28"/>
        <v>0</v>
      </c>
      <c r="S138" s="398"/>
    </row>
    <row r="139" spans="1:19" s="75" customFormat="1">
      <c r="A139" s="398"/>
      <c r="B139" s="53"/>
      <c r="C139" s="53"/>
      <c r="D139" s="262">
        <v>5</v>
      </c>
      <c r="E139" s="573">
        <f t="shared" si="23"/>
        <v>-10.980156352019755</v>
      </c>
      <c r="F139" s="398"/>
      <c r="G139" s="171">
        <f t="shared" si="30"/>
        <v>1</v>
      </c>
      <c r="H139" s="539">
        <f t="shared" si="24"/>
        <v>209.91773842838921</v>
      </c>
      <c r="I139" s="539">
        <f t="shared" si="25"/>
        <v>209.91773842838921</v>
      </c>
      <c r="J139" s="539">
        <f t="shared" si="20"/>
        <v>198.93758207636947</v>
      </c>
      <c r="K139" s="539">
        <f t="shared" si="26"/>
        <v>907.80156513225359</v>
      </c>
      <c r="L139" s="251">
        <f t="shared" si="29"/>
        <v>45352</v>
      </c>
      <c r="M139" s="53"/>
      <c r="N139" s="398"/>
      <c r="O139" s="251">
        <f t="shared" si="27"/>
        <v>45717</v>
      </c>
      <c r="P139" s="539">
        <f t="shared" si="21"/>
        <v>0</v>
      </c>
      <c r="Q139" s="539">
        <f t="shared" si="22"/>
        <v>907.80156513225359</v>
      </c>
      <c r="R139" s="104">
        <f t="shared" si="28"/>
        <v>0</v>
      </c>
      <c r="S139" s="398"/>
    </row>
    <row r="140" spans="1:19" s="75" customFormat="1">
      <c r="A140" s="398"/>
      <c r="B140" s="53"/>
      <c r="C140" s="53"/>
      <c r="D140" s="262">
        <v>6</v>
      </c>
      <c r="E140" s="573">
        <f t="shared" si="23"/>
        <v>0</v>
      </c>
      <c r="F140" s="398"/>
      <c r="G140" s="171">
        <f t="shared" si="30"/>
        <v>0</v>
      </c>
      <c r="H140" s="539">
        <f t="shared" si="24"/>
        <v>0</v>
      </c>
      <c r="I140" s="539">
        <f t="shared" si="25"/>
        <v>0</v>
      </c>
      <c r="J140" s="539">
        <f t="shared" si="20"/>
        <v>0</v>
      </c>
      <c r="K140" s="539">
        <f t="shared" si="26"/>
        <v>907.80156513225359</v>
      </c>
      <c r="L140" s="251">
        <f t="shared" si="29"/>
        <v>45717</v>
      </c>
      <c r="M140" s="53"/>
      <c r="N140" s="398"/>
      <c r="O140" s="251">
        <f t="shared" si="27"/>
        <v>46082</v>
      </c>
      <c r="P140" s="539">
        <f t="shared" si="21"/>
        <v>0</v>
      </c>
      <c r="Q140" s="539">
        <f t="shared" si="22"/>
        <v>907.80156513225359</v>
      </c>
      <c r="R140" s="104">
        <f t="shared" si="28"/>
        <v>0</v>
      </c>
      <c r="S140" s="398"/>
    </row>
    <row r="141" spans="1:19" s="75" customFormat="1">
      <c r="A141" s="398"/>
      <c r="B141" s="53"/>
      <c r="C141" s="53"/>
      <c r="D141" s="262">
        <v>7</v>
      </c>
      <c r="E141" s="573">
        <f t="shared" si="23"/>
        <v>0</v>
      </c>
      <c r="F141" s="398"/>
      <c r="G141" s="171">
        <f t="shared" si="30"/>
        <v>0</v>
      </c>
      <c r="H141" s="539">
        <f t="shared" si="24"/>
        <v>0</v>
      </c>
      <c r="I141" s="539">
        <f t="shared" si="25"/>
        <v>0</v>
      </c>
      <c r="J141" s="539">
        <f t="shared" si="20"/>
        <v>0</v>
      </c>
      <c r="K141" s="539">
        <f t="shared" si="26"/>
        <v>907.80156513225359</v>
      </c>
      <c r="L141" s="251">
        <f t="shared" si="29"/>
        <v>46082</v>
      </c>
      <c r="M141" s="53"/>
      <c r="N141" s="398"/>
      <c r="O141" s="251">
        <f t="shared" si="27"/>
        <v>46447</v>
      </c>
      <c r="P141" s="539">
        <f t="shared" si="21"/>
        <v>0</v>
      </c>
      <c r="Q141" s="539">
        <f t="shared" si="22"/>
        <v>907.80156513225359</v>
      </c>
      <c r="R141" s="104">
        <f t="shared" si="28"/>
        <v>0</v>
      </c>
      <c r="S141" s="398"/>
    </row>
    <row r="142" spans="1:19" s="75" customFormat="1">
      <c r="A142" s="398"/>
      <c r="B142" s="53"/>
      <c r="C142" s="53"/>
      <c r="D142" s="262">
        <v>8</v>
      </c>
      <c r="E142" s="573">
        <f t="shared" si="23"/>
        <v>0</v>
      </c>
      <c r="F142" s="398"/>
      <c r="G142" s="171">
        <f t="shared" si="30"/>
        <v>0</v>
      </c>
      <c r="H142" s="539">
        <f t="shared" si="24"/>
        <v>0</v>
      </c>
      <c r="I142" s="539">
        <f t="shared" si="25"/>
        <v>0</v>
      </c>
      <c r="J142" s="539">
        <f t="shared" si="20"/>
        <v>0</v>
      </c>
      <c r="K142" s="539">
        <f t="shared" si="26"/>
        <v>907.80156513225359</v>
      </c>
      <c r="L142" s="251">
        <f t="shared" si="29"/>
        <v>46447</v>
      </c>
      <c r="M142" s="53"/>
      <c r="N142" s="398"/>
      <c r="O142" s="251">
        <f t="shared" si="27"/>
        <v>46813</v>
      </c>
      <c r="P142" s="539">
        <f t="shared" si="21"/>
        <v>0</v>
      </c>
      <c r="Q142" s="539">
        <f t="shared" si="22"/>
        <v>907.80156513225359</v>
      </c>
      <c r="R142" s="104">
        <f t="shared" si="28"/>
        <v>0</v>
      </c>
      <c r="S142" s="398"/>
    </row>
    <row r="143" spans="1:19" s="75" customFormat="1">
      <c r="A143" s="398"/>
      <c r="B143" s="53"/>
      <c r="C143" s="53"/>
      <c r="D143" s="262">
        <v>9</v>
      </c>
      <c r="E143" s="573">
        <f t="shared" si="23"/>
        <v>0</v>
      </c>
      <c r="F143" s="398"/>
      <c r="G143" s="171">
        <f t="shared" si="30"/>
        <v>0</v>
      </c>
      <c r="H143" s="539">
        <f t="shared" si="24"/>
        <v>0</v>
      </c>
      <c r="I143" s="539">
        <f t="shared" si="25"/>
        <v>0</v>
      </c>
      <c r="J143" s="539">
        <f t="shared" si="20"/>
        <v>0</v>
      </c>
      <c r="K143" s="539">
        <f t="shared" si="26"/>
        <v>907.80156513225359</v>
      </c>
      <c r="L143" s="251">
        <f t="shared" si="29"/>
        <v>46813</v>
      </c>
      <c r="M143" s="53"/>
      <c r="N143" s="398"/>
      <c r="O143" s="251">
        <f t="shared" si="27"/>
        <v>47178</v>
      </c>
      <c r="P143" s="539">
        <f t="shared" si="21"/>
        <v>0</v>
      </c>
      <c r="Q143" s="539">
        <f t="shared" si="22"/>
        <v>907.80156513225359</v>
      </c>
      <c r="R143" s="104">
        <f t="shared" si="28"/>
        <v>0</v>
      </c>
      <c r="S143" s="398"/>
    </row>
    <row r="144" spans="1:19" s="75" customFormat="1" ht="13.5" thickBot="1">
      <c r="A144" s="398"/>
      <c r="B144" s="53"/>
      <c r="C144" s="53"/>
      <c r="D144" s="262">
        <v>10</v>
      </c>
      <c r="E144" s="573">
        <f t="shared" si="23"/>
        <v>0</v>
      </c>
      <c r="F144" s="398"/>
      <c r="G144" s="171">
        <f t="shared" si="30"/>
        <v>0</v>
      </c>
      <c r="H144" s="539">
        <f t="shared" si="24"/>
        <v>0</v>
      </c>
      <c r="I144" s="539">
        <f t="shared" si="25"/>
        <v>0</v>
      </c>
      <c r="J144" s="539">
        <f t="shared" si="20"/>
        <v>0</v>
      </c>
      <c r="K144" s="539">
        <f t="shared" si="26"/>
        <v>907.80156513225359</v>
      </c>
      <c r="L144" s="251">
        <f t="shared" si="29"/>
        <v>47178</v>
      </c>
      <c r="M144" s="53"/>
      <c r="N144" s="398"/>
      <c r="O144" s="251">
        <f t="shared" si="27"/>
        <v>47543</v>
      </c>
      <c r="P144" s="539">
        <f t="shared" si="21"/>
        <v>0</v>
      </c>
      <c r="Q144" s="539">
        <f t="shared" si="22"/>
        <v>907.80156513225359</v>
      </c>
      <c r="R144" s="104">
        <f t="shared" si="28"/>
        <v>0</v>
      </c>
      <c r="S144" s="398"/>
    </row>
    <row r="145" spans="1:19" s="75" customFormat="1" ht="13.5" thickTop="1">
      <c r="A145" s="398"/>
      <c r="B145" s="53"/>
      <c r="C145" s="53"/>
      <c r="D145" s="263" t="str">
        <f>D157</f>
        <v>Total</v>
      </c>
      <c r="E145" s="560">
        <f>SUM(E134:E144)</f>
        <v>-149.2571270096926</v>
      </c>
      <c r="F145" s="398"/>
      <c r="G145" s="398"/>
      <c r="H145" s="550">
        <f>SUM(H134:H144)</f>
        <v>1049.588692141946</v>
      </c>
      <c r="I145" s="550">
        <f>SUM(I134:I144)</f>
        <v>1057.058692141946</v>
      </c>
      <c r="J145" s="550">
        <f>SUM(J134:J144)</f>
        <v>907.80156513225359</v>
      </c>
      <c r="K145" s="550">
        <f>J145</f>
        <v>907.80156513225359</v>
      </c>
      <c r="L145" s="53"/>
      <c r="M145" s="53"/>
      <c r="N145" s="398"/>
      <c r="O145" s="398"/>
      <c r="P145" s="398"/>
      <c r="Q145" s="398"/>
      <c r="R145" s="398"/>
      <c r="S145" s="398"/>
    </row>
    <row r="146" spans="1:19" s="75" customFormat="1">
      <c r="A146" s="398"/>
      <c r="B146" s="53"/>
      <c r="C146" s="53"/>
      <c r="D146" s="39" t="s">
        <v>736</v>
      </c>
      <c r="E146" s="573">
        <f>E134+NPV(WACC,E135:E144)</f>
        <v>-137.96680005806937</v>
      </c>
      <c r="F146" s="398"/>
      <c r="G146" s="398"/>
      <c r="H146" s="539">
        <f>H134+NPV(WACC,H135:H144)</f>
        <v>833.74113735135484</v>
      </c>
      <c r="I146" s="539">
        <f>I134+NPV(WACC,I135:I144)</f>
        <v>840.64501905190946</v>
      </c>
      <c r="J146" s="539">
        <f>J134+NPV(WACC,J135:J144)</f>
        <v>702.67821899384023</v>
      </c>
      <c r="K146" s="539">
        <f>J146</f>
        <v>702.67821899384023</v>
      </c>
      <c r="L146" s="53"/>
      <c r="M146" s="53"/>
      <c r="N146" s="398"/>
      <c r="O146" s="398" t="s">
        <v>794</v>
      </c>
      <c r="P146" s="398"/>
      <c r="Q146" s="398"/>
      <c r="R146" s="398"/>
      <c r="S146" s="398"/>
    </row>
    <row r="147" spans="1:19" s="75" customFormat="1">
      <c r="A147" s="398"/>
      <c r="B147" s="53"/>
      <c r="C147" s="53"/>
      <c r="D147" s="270"/>
      <c r="E147" s="270"/>
      <c r="F147" s="270"/>
      <c r="G147" s="53"/>
      <c r="H147" s="77"/>
      <c r="I147" s="53"/>
      <c r="J147" s="53"/>
      <c r="K147" s="53"/>
      <c r="L147" s="53"/>
      <c r="M147" s="53"/>
      <c r="N147" s="398"/>
      <c r="O147" s="398"/>
      <c r="P147" s="398"/>
      <c r="Q147" s="398"/>
      <c r="R147" s="398"/>
      <c r="S147" s="398"/>
    </row>
    <row r="148" spans="1:19">
      <c r="A148" s="398"/>
      <c r="B148" s="53"/>
      <c r="C148" s="53"/>
      <c r="D148" s="423"/>
      <c r="E148" s="423"/>
      <c r="F148" s="423"/>
      <c r="G148" s="53"/>
      <c r="H148" s="423"/>
      <c r="I148" s="53"/>
      <c r="J148" s="53"/>
      <c r="K148" s="53"/>
      <c r="L148" s="53"/>
      <c r="M148" s="53"/>
      <c r="N148" s="398"/>
      <c r="O148" s="398"/>
      <c r="P148" s="398"/>
      <c r="Q148" s="398"/>
      <c r="R148" s="398"/>
      <c r="S148" s="398"/>
    </row>
    <row r="149" spans="1:19" s="32" customFormat="1" ht="6" customHeight="1">
      <c r="A149" s="398"/>
      <c r="B149" s="398"/>
      <c r="C149" s="398"/>
      <c r="D149" s="398"/>
      <c r="E149" s="398"/>
      <c r="F149" s="398"/>
      <c r="G149" s="398"/>
      <c r="H149" s="398"/>
      <c r="I149" s="398"/>
      <c r="J149" s="398"/>
      <c r="K149" s="398"/>
      <c r="L149" s="398"/>
      <c r="M149" s="398"/>
      <c r="N149" s="398"/>
      <c r="O149" s="398"/>
      <c r="P149" s="398"/>
      <c r="Q149" s="398"/>
      <c r="R149" s="398"/>
      <c r="S149" s="398"/>
    </row>
    <row r="150" spans="1:19" ht="22.5">
      <c r="A150" s="29" t="s">
        <v>795</v>
      </c>
      <c r="B150" s="398"/>
      <c r="C150" s="398"/>
      <c r="D150" s="398"/>
      <c r="E150" s="398"/>
      <c r="F150" s="398"/>
      <c r="G150" s="398"/>
      <c r="H150" s="398"/>
      <c r="I150" s="398"/>
      <c r="J150" s="398"/>
      <c r="K150" s="398"/>
      <c r="L150" s="398"/>
      <c r="M150" s="398"/>
      <c r="N150" s="398"/>
      <c r="O150" s="398"/>
      <c r="P150" s="398"/>
      <c r="Q150" s="398"/>
      <c r="R150" s="398"/>
      <c r="S150" s="398"/>
    </row>
    <row r="151" spans="1:19" s="105" customFormat="1" ht="20.25" customHeight="1">
      <c r="A151" s="53"/>
      <c r="B151" s="703"/>
      <c r="C151" s="797" t="s">
        <v>796</v>
      </c>
      <c r="D151" s="797"/>
      <c r="E151" s="797"/>
      <c r="F151" s="797"/>
      <c r="G151" s="797"/>
      <c r="H151" s="797"/>
      <c r="I151" s="797"/>
      <c r="J151" s="797"/>
      <c r="K151" s="797"/>
      <c r="L151" s="797"/>
      <c r="M151" s="703"/>
      <c r="N151" s="398"/>
      <c r="O151" s="398"/>
      <c r="P151" s="398"/>
      <c r="Q151" s="398"/>
      <c r="R151" s="398"/>
      <c r="S151" s="398"/>
    </row>
    <row r="152" spans="1:19" ht="12.75" customHeight="1">
      <c r="A152" s="398"/>
      <c r="B152" s="53"/>
      <c r="C152" s="53"/>
      <c r="D152" s="53"/>
      <c r="E152" s="835" t="str">
        <f>$E$64</f>
        <v>Costs (per User)</v>
      </c>
      <c r="F152" s="835"/>
      <c r="G152" s="782"/>
      <c r="H152" s="835" t="s">
        <v>761</v>
      </c>
      <c r="I152" s="783"/>
      <c r="J152" s="835"/>
      <c r="K152" s="53"/>
      <c r="L152" s="53"/>
      <c r="M152" s="53"/>
      <c r="N152" s="398"/>
      <c r="O152" s="398"/>
      <c r="P152" s="398"/>
      <c r="Q152" s="398"/>
      <c r="R152" s="398"/>
      <c r="S152" s="398"/>
    </row>
    <row r="153" spans="1:19" ht="25.5">
      <c r="A153" s="398"/>
      <c r="B153" s="53"/>
      <c r="C153" s="53"/>
      <c r="D153" s="671" t="s">
        <v>797</v>
      </c>
      <c r="E153" s="679" t="str">
        <f>$E$20</f>
        <v>One-Time</v>
      </c>
      <c r="F153" s="671" t="str">
        <f>$F$20</f>
        <v>Annual Recurring</v>
      </c>
      <c r="G153" s="671" t="str">
        <f>$G$20</f>
        <v>Project Total</v>
      </c>
      <c r="H153" s="694" t="str">
        <f>$E$20</f>
        <v>One-Time</v>
      </c>
      <c r="I153" s="671" t="str">
        <f>$F$20</f>
        <v>Annual Recurring</v>
      </c>
      <c r="J153" s="671" t="str">
        <f>$G$20</f>
        <v>Project Total</v>
      </c>
      <c r="K153" s="53"/>
      <c r="L153" s="53"/>
      <c r="M153" s="53"/>
      <c r="N153" s="398"/>
      <c r="O153" s="398"/>
      <c r="P153" s="398"/>
      <c r="Q153" s="398"/>
      <c r="R153" s="398"/>
      <c r="S153" s="398"/>
    </row>
    <row r="154" spans="1:19" ht="14.25">
      <c r="A154" s="398"/>
      <c r="B154" s="53"/>
      <c r="C154" s="641"/>
      <c r="D154" s="706" t="str">
        <f>Costs!B35</f>
        <v xml:space="preserve">Hardware </v>
      </c>
      <c r="E154" s="45"/>
      <c r="F154" s="45"/>
      <c r="G154" s="45"/>
      <c r="H154" s="45"/>
      <c r="I154" s="45"/>
      <c r="J154" s="45"/>
      <c r="K154" s="53"/>
      <c r="L154" s="53"/>
      <c r="M154" s="53"/>
      <c r="N154" s="398"/>
      <c r="O154" s="706" t="s">
        <v>798</v>
      </c>
      <c r="P154" s="398"/>
      <c r="Q154" s="398"/>
      <c r="R154" s="398"/>
      <c r="S154" s="398"/>
    </row>
    <row r="155" spans="1:19">
      <c r="A155" s="398"/>
      <c r="B155" s="53"/>
      <c r="C155" s="46"/>
      <c r="D155" s="373" t="str">
        <f>Costs!C36</f>
        <v>Client Hardware</v>
      </c>
      <c r="E155" s="539">
        <f>Costs!G36</f>
        <v>0</v>
      </c>
      <c r="F155" s="539">
        <f>Costs!H36</f>
        <v>0</v>
      </c>
      <c r="G155" s="539">
        <f>E155+F155*ProjectTtlMultCosts</f>
        <v>0</v>
      </c>
      <c r="H155" s="539">
        <f>E155*PCUsers/1000</f>
        <v>0</v>
      </c>
      <c r="I155" s="539">
        <f>F155*PCUsers/1000</f>
        <v>0</v>
      </c>
      <c r="J155" s="539">
        <f>H155+I155*ProjectTtlMultCosts</f>
        <v>0</v>
      </c>
      <c r="K155" s="53"/>
      <c r="L155" s="53"/>
      <c r="M155" s="53"/>
      <c r="N155" s="398"/>
      <c r="O155" s="398"/>
      <c r="P155" s="106" t="s">
        <v>18</v>
      </c>
      <c r="Q155" s="106" t="s">
        <v>732</v>
      </c>
      <c r="R155" s="398"/>
      <c r="S155" s="398"/>
    </row>
    <row r="156" spans="1:19" ht="13.5" thickBot="1">
      <c r="A156" s="398"/>
      <c r="B156" s="53"/>
      <c r="C156" s="46"/>
      <c r="D156" s="836" t="str">
        <f>Costs!C37</f>
        <v>Data Center Hardware</v>
      </c>
      <c r="E156" s="539">
        <f>Costs!G37</f>
        <v>15</v>
      </c>
      <c r="F156" s="539">
        <f>Costs!H37</f>
        <v>2.25</v>
      </c>
      <c r="G156" s="539">
        <f>E156+F156*ProjectTtlMultCosts</f>
        <v>26.249999999999996</v>
      </c>
      <c r="H156" s="539">
        <f>E156*PCUsers/1000</f>
        <v>41.282893525084212</v>
      </c>
      <c r="I156" s="539">
        <f>F156*PCUsers/1000</f>
        <v>6.1924340287626309</v>
      </c>
      <c r="J156" s="539">
        <f>H156+I156*ProjectTtlMultCosts</f>
        <v>72.245063668897359</v>
      </c>
      <c r="K156" s="53"/>
      <c r="L156" s="53"/>
      <c r="M156" s="53"/>
      <c r="N156" s="398"/>
      <c r="O156" s="270" t="s">
        <v>799</v>
      </c>
      <c r="P156" s="539">
        <f>F70</f>
        <v>10.980156352019755</v>
      </c>
      <c r="Q156" s="539">
        <f>$F$81</f>
        <v>209.91773842838919</v>
      </c>
      <c r="R156" s="398"/>
      <c r="S156" s="398"/>
    </row>
    <row r="157" spans="1:19" ht="13.5" thickTop="1">
      <c r="A157" s="398"/>
      <c r="B157" s="53"/>
      <c r="C157" s="46"/>
      <c r="D157" s="38" t="s">
        <v>259</v>
      </c>
      <c r="E157" s="560">
        <f t="shared" ref="E157:J157" si="31">SUM(E155:E156)</f>
        <v>15</v>
      </c>
      <c r="F157" s="550">
        <f t="shared" si="31"/>
        <v>2.25</v>
      </c>
      <c r="G157" s="550">
        <f t="shared" si="31"/>
        <v>26.249999999999996</v>
      </c>
      <c r="H157" s="550">
        <f t="shared" si="31"/>
        <v>41.282893525084212</v>
      </c>
      <c r="I157" s="550">
        <f t="shared" si="31"/>
        <v>6.1924340287626309</v>
      </c>
      <c r="J157" s="550">
        <f t="shared" si="31"/>
        <v>72.245063668897359</v>
      </c>
      <c r="K157" s="53"/>
      <c r="L157" s="53"/>
      <c r="M157" s="53"/>
      <c r="N157" s="398"/>
      <c r="O157" s="270" t="s">
        <v>494</v>
      </c>
      <c r="P157" s="539">
        <f>-E145+E134</f>
        <v>54.900781760098752</v>
      </c>
      <c r="Q157" s="539">
        <f>H145</f>
        <v>1049.588692141946</v>
      </c>
      <c r="R157" s="398"/>
      <c r="S157" s="398"/>
    </row>
    <row r="158" spans="1:19" ht="14.25">
      <c r="A158" s="398"/>
      <c r="B158" s="53"/>
      <c r="C158" s="641"/>
      <c r="D158" s="706" t="str">
        <f>Costs!B39</f>
        <v>Software</v>
      </c>
      <c r="E158" s="599"/>
      <c r="F158" s="599"/>
      <c r="G158" s="599"/>
      <c r="H158" s="599"/>
      <c r="I158" s="599"/>
      <c r="J158" s="599"/>
      <c r="K158" s="53"/>
      <c r="L158" s="53"/>
      <c r="M158" s="53"/>
      <c r="N158" s="398"/>
      <c r="O158" s="77" t="s">
        <v>800</v>
      </c>
      <c r="P158" s="92">
        <f>IF(P156=0,0,P157/P156)</f>
        <v>4.9999999999999982</v>
      </c>
      <c r="Q158" s="92">
        <f>IF(Q156=0,0,Q157/Q156)</f>
        <v>5</v>
      </c>
      <c r="R158" s="398"/>
      <c r="S158" s="398"/>
    </row>
    <row r="159" spans="1:19">
      <c r="A159" s="398"/>
      <c r="B159" s="53"/>
      <c r="C159" s="46"/>
      <c r="D159" s="373" t="str">
        <f>Costs!C40</f>
        <v>Client Software</v>
      </c>
      <c r="E159" s="539">
        <f>Costs!G40</f>
        <v>10.25</v>
      </c>
      <c r="F159" s="539">
        <f>Costs!H40</f>
        <v>2.3574999999999995</v>
      </c>
      <c r="G159" s="539">
        <f>E159+F159*ProjectTtlMultCosts</f>
        <v>22.037499999999994</v>
      </c>
      <c r="H159" s="539">
        <f>E159*PCUsers/1000</f>
        <v>28.209977242140877</v>
      </c>
      <c r="I159" s="539">
        <f>F159*PCUsers/1000</f>
        <v>6.4882947656923999</v>
      </c>
      <c r="J159" s="539">
        <f>H159+I159*ProjectTtlMultCosts</f>
        <v>60.65145107060286</v>
      </c>
      <c r="K159" s="53"/>
      <c r="L159" s="53"/>
      <c r="M159" s="53"/>
      <c r="N159" s="398"/>
      <c r="O159" s="398"/>
      <c r="P159" s="270" t="s">
        <v>801</v>
      </c>
      <c r="Q159" s="270" t="s">
        <v>802</v>
      </c>
      <c r="R159" s="398"/>
      <c r="S159" s="398"/>
    </row>
    <row r="160" spans="1:19" ht="13.5" thickBot="1">
      <c r="A160" s="398"/>
      <c r="B160" s="53"/>
      <c r="C160" s="46"/>
      <c r="D160" s="836" t="str">
        <f>Costs!C41</f>
        <v>Server Software</v>
      </c>
      <c r="E160" s="539">
        <f>Costs!G41</f>
        <v>20.833333333333336</v>
      </c>
      <c r="F160" s="539">
        <f>Costs!H41</f>
        <v>4.791666666666667</v>
      </c>
      <c r="G160" s="539">
        <f>E160+F160*ProjectTtlMultCosts</f>
        <v>44.791666666666657</v>
      </c>
      <c r="H160" s="539">
        <f>E160*PCUsers/1000</f>
        <v>57.337352118172525</v>
      </c>
      <c r="I160" s="539">
        <f>F160*PCUsers/1000</f>
        <v>13.187590987179679</v>
      </c>
      <c r="J160" s="539">
        <f>H160+I160*ProjectTtlMultCosts</f>
        <v>123.27530705407091</v>
      </c>
      <c r="K160" s="53"/>
      <c r="L160" s="53"/>
      <c r="M160" s="53"/>
      <c r="N160" s="398"/>
      <c r="O160" s="398"/>
      <c r="P160" s="398"/>
      <c r="Q160" s="398"/>
      <c r="R160" s="398"/>
      <c r="S160" s="398"/>
    </row>
    <row r="161" spans="1:19" ht="13.5" thickTop="1">
      <c r="A161" s="398"/>
      <c r="B161" s="53"/>
      <c r="C161" s="46"/>
      <c r="D161" s="38" t="s">
        <v>259</v>
      </c>
      <c r="E161" s="560">
        <f t="shared" ref="E161:J161" si="32">SUM(E159:E160)</f>
        <v>31.083333333333336</v>
      </c>
      <c r="F161" s="550">
        <f t="shared" si="32"/>
        <v>7.149166666666666</v>
      </c>
      <c r="G161" s="550">
        <f t="shared" si="32"/>
        <v>66.829166666666652</v>
      </c>
      <c r="H161" s="550">
        <f t="shared" si="32"/>
        <v>85.547329360313398</v>
      </c>
      <c r="I161" s="550">
        <f t="shared" si="32"/>
        <v>19.675885752872077</v>
      </c>
      <c r="J161" s="550">
        <f t="shared" si="32"/>
        <v>183.92675812467377</v>
      </c>
      <c r="K161" s="53"/>
      <c r="L161" s="53"/>
      <c r="M161" s="53"/>
      <c r="N161" s="398"/>
      <c r="O161" s="398"/>
      <c r="P161" s="398"/>
      <c r="Q161" s="398"/>
      <c r="R161" s="398"/>
      <c r="S161" s="398"/>
    </row>
    <row r="162" spans="1:19" ht="14.25">
      <c r="A162" s="398"/>
      <c r="B162" s="53"/>
      <c r="C162" s="641"/>
      <c r="D162" s="706" t="str">
        <f>Costs!B43</f>
        <v>IT Labor, Services, &amp; Training</v>
      </c>
      <c r="E162" s="599"/>
      <c r="F162" s="599"/>
      <c r="G162" s="599"/>
      <c r="H162" s="599"/>
      <c r="I162" s="599"/>
      <c r="J162" s="599"/>
      <c r="K162" s="53"/>
      <c r="L162" s="53"/>
      <c r="M162" s="53"/>
      <c r="N162" s="398"/>
      <c r="O162" s="398"/>
      <c r="P162" s="398"/>
      <c r="Q162" s="398"/>
      <c r="R162" s="398"/>
      <c r="S162" s="398"/>
    </row>
    <row r="163" spans="1:19">
      <c r="A163" s="398"/>
      <c r="B163" s="53"/>
      <c r="C163" s="46"/>
      <c r="D163" s="373" t="str">
        <f>Costs!C44</f>
        <v>One-time Implementation Labor/Services</v>
      </c>
      <c r="E163" s="539">
        <f>Costs!G44</f>
        <v>17.981561318861409</v>
      </c>
      <c r="F163" s="539">
        <f>Costs!H44</f>
        <v>0</v>
      </c>
      <c r="G163" s="539">
        <f>E163+F163*ProjectTtlMultCosts</f>
        <v>17.981561318861409</v>
      </c>
      <c r="H163" s="539">
        <f t="shared" ref="H163:I166" si="33">E163*PCUsers/1000</f>
        <v>49.488725422755223</v>
      </c>
      <c r="I163" s="539">
        <f t="shared" si="33"/>
        <v>0</v>
      </c>
      <c r="J163" s="539">
        <f>H163+I163*ProjectTtlMultCosts</f>
        <v>49.488725422755223</v>
      </c>
      <c r="K163" s="53"/>
      <c r="L163" s="53"/>
      <c r="M163" s="53"/>
      <c r="N163" s="398"/>
      <c r="O163" s="398"/>
      <c r="P163" s="398"/>
      <c r="Q163" s="398"/>
      <c r="R163" s="398"/>
      <c r="S163" s="398"/>
    </row>
    <row r="164" spans="1:19">
      <c r="A164" s="398"/>
      <c r="B164" s="53"/>
      <c r="C164" s="46"/>
      <c r="D164" s="373" t="str">
        <f>Costs!C45</f>
        <v>Annual On-Going Labor/Services</v>
      </c>
      <c r="E164" s="539">
        <f>Costs!G45</f>
        <v>0</v>
      </c>
      <c r="F164" s="539">
        <f>Costs!H45</f>
        <v>8.5941285715146434E-2</v>
      </c>
      <c r="G164" s="539">
        <f>E164+F164*ProjectTtlMultCosts</f>
        <v>0.42970642857573205</v>
      </c>
      <c r="H164" s="539">
        <f t="shared" si="33"/>
        <v>0</v>
      </c>
      <c r="I164" s="539">
        <f t="shared" si="33"/>
        <v>0.23652699650581538</v>
      </c>
      <c r="J164" s="539">
        <f>H164+I164*ProjectTtlMultCosts</f>
        <v>1.1826349825290765</v>
      </c>
      <c r="K164" s="53"/>
      <c r="L164" s="53"/>
      <c r="M164" s="53"/>
      <c r="N164" s="398"/>
      <c r="O164" s="398"/>
      <c r="P164" s="398"/>
      <c r="Q164" s="398"/>
      <c r="R164" s="398"/>
      <c r="S164" s="398"/>
    </row>
    <row r="165" spans="1:19">
      <c r="A165" s="398"/>
      <c r="B165" s="53"/>
      <c r="C165" s="46"/>
      <c r="D165" s="373" t="str">
        <f>Costs!C46</f>
        <v>Incremental Help Desk Calls</v>
      </c>
      <c r="E165" s="539">
        <f>Costs!G46</f>
        <v>0.98160276995552853</v>
      </c>
      <c r="F165" s="539">
        <f>Costs!H46</f>
        <v>0</v>
      </c>
      <c r="G165" s="539">
        <f>E165+F165*ProjectTtlMultCosts</f>
        <v>0.98160276995552853</v>
      </c>
      <c r="H165" s="539">
        <f t="shared" si="33"/>
        <v>2.7015601757334542</v>
      </c>
      <c r="I165" s="539">
        <f t="shared" si="33"/>
        <v>0</v>
      </c>
      <c r="J165" s="539">
        <f>H165+I165*ProjectTtlMultCosts</f>
        <v>2.7015601757334542</v>
      </c>
      <c r="K165" s="53"/>
      <c r="L165" s="53"/>
      <c r="M165" s="53"/>
      <c r="N165" s="398"/>
      <c r="O165" s="398"/>
      <c r="P165" s="398"/>
      <c r="Q165" s="398"/>
      <c r="R165" s="398"/>
      <c r="S165" s="398"/>
    </row>
    <row r="166" spans="1:19" ht="13.5" thickBot="1">
      <c r="A166" s="398"/>
      <c r="B166" s="53"/>
      <c r="C166" s="46"/>
      <c r="D166" s="836" t="str">
        <f>Costs!C47</f>
        <v>IT Training</v>
      </c>
      <c r="E166" s="539">
        <f>Costs!G47</f>
        <v>14.704412230702076</v>
      </c>
      <c r="F166" s="539">
        <f>Costs!H47</f>
        <v>0</v>
      </c>
      <c r="G166" s="539">
        <f>E166+F166*ProjectTtlMultCosts</f>
        <v>14.704412230702076</v>
      </c>
      <c r="H166" s="539">
        <f t="shared" si="33"/>
        <v>40.469378964601319</v>
      </c>
      <c r="I166" s="539">
        <f t="shared" si="33"/>
        <v>0</v>
      </c>
      <c r="J166" s="539">
        <f>H166+I166*ProjectTtlMultCosts</f>
        <v>40.469378964601319</v>
      </c>
      <c r="K166" s="53"/>
      <c r="L166" s="53"/>
      <c r="M166" s="53"/>
      <c r="N166" s="398"/>
      <c r="O166" s="398"/>
      <c r="P166" s="398"/>
      <c r="Q166" s="398"/>
      <c r="R166" s="398"/>
      <c r="S166" s="398"/>
    </row>
    <row r="167" spans="1:19" ht="13.5" thickTop="1">
      <c r="A167" s="398"/>
      <c r="B167" s="53"/>
      <c r="C167" s="46"/>
      <c r="D167" s="38" t="s">
        <v>259</v>
      </c>
      <c r="E167" s="560">
        <f t="shared" ref="E167:J167" si="34">SUM(E163:E166)</f>
        <v>33.667576319519014</v>
      </c>
      <c r="F167" s="550">
        <f t="shared" si="34"/>
        <v>8.5941285715146434E-2</v>
      </c>
      <c r="G167" s="550">
        <f t="shared" si="34"/>
        <v>34.097282748094742</v>
      </c>
      <c r="H167" s="550">
        <f t="shared" si="34"/>
        <v>92.65966456308999</v>
      </c>
      <c r="I167" s="550">
        <f t="shared" si="34"/>
        <v>0.23652699650581538</v>
      </c>
      <c r="J167" s="550">
        <f t="shared" si="34"/>
        <v>93.84229954561907</v>
      </c>
      <c r="K167" s="53"/>
      <c r="L167" s="53"/>
      <c r="M167" s="53"/>
      <c r="N167" s="398"/>
      <c r="O167" s="398"/>
      <c r="P167" s="398"/>
      <c r="Q167" s="398"/>
      <c r="R167" s="398"/>
      <c r="S167" s="398"/>
    </row>
    <row r="168" spans="1:19" ht="14.25">
      <c r="A168" s="398"/>
      <c r="B168" s="53"/>
      <c r="C168" s="641"/>
      <c r="D168" s="706" t="str">
        <f>Costs!B49</f>
        <v>End-User Labor &amp; Training</v>
      </c>
      <c r="E168" s="599"/>
      <c r="F168" s="599"/>
      <c r="G168" s="599"/>
      <c r="H168" s="599"/>
      <c r="I168" s="599"/>
      <c r="J168" s="599"/>
      <c r="K168" s="53"/>
      <c r="L168" s="53"/>
      <c r="M168" s="53"/>
      <c r="N168" s="398"/>
      <c r="O168" s="398"/>
      <c r="P168" s="398"/>
      <c r="Q168" s="398"/>
      <c r="R168" s="398"/>
      <c r="S168" s="398"/>
    </row>
    <row r="169" spans="1:19">
      <c r="A169" s="398"/>
      <c r="B169" s="53"/>
      <c r="C169" s="46"/>
      <c r="D169" s="373" t="str">
        <f>Costs!C50</f>
        <v>End-User Labor</v>
      </c>
      <c r="E169" s="539">
        <f>Costs!G50</f>
        <v>3.7951228606193932</v>
      </c>
      <c r="F169" s="539">
        <f>Costs!H50</f>
        <v>1.4950483996379429</v>
      </c>
      <c r="G169" s="539">
        <f>E169+F169*ProjectTtlMultCosts</f>
        <v>11.270364858809105</v>
      </c>
      <c r="H169" s="539">
        <f>E169*PCUsers/1000</f>
        <v>10.444910197970893</v>
      </c>
      <c r="I169" s="539">
        <f>F169*PCUsers/1000</f>
        <v>4.114661593140049</v>
      </c>
      <c r="J169" s="539">
        <f>H169+I169*ProjectTtlMultCosts</f>
        <v>31.018218163671129</v>
      </c>
      <c r="K169" s="53"/>
      <c r="L169" s="53"/>
      <c r="M169" s="53"/>
      <c r="N169" s="398"/>
      <c r="O169" s="398"/>
      <c r="P169" s="398"/>
      <c r="Q169" s="398"/>
      <c r="R169" s="398"/>
      <c r="S169" s="398"/>
    </row>
    <row r="170" spans="1:19" ht="13.5" thickBot="1">
      <c r="A170" s="398"/>
      <c r="B170" s="53"/>
      <c r="C170" s="46"/>
      <c r="D170" s="836" t="str">
        <f>Costs!C51</f>
        <v>End-User Training</v>
      </c>
      <c r="E170" s="539">
        <f>Costs!G51</f>
        <v>10.810312736122091</v>
      </c>
      <c r="F170" s="539">
        <f>Costs!H51</f>
        <v>0</v>
      </c>
      <c r="G170" s="539">
        <f>E170+F170*ProjectTtlMultCosts</f>
        <v>10.810312736122091</v>
      </c>
      <c r="H170" s="539">
        <f>E170*PCUsers/1000</f>
        <v>29.752065977212666</v>
      </c>
      <c r="I170" s="539">
        <f>F170*PCUsers/1000</f>
        <v>0</v>
      </c>
      <c r="J170" s="539">
        <f>H170+I170*ProjectTtlMultCosts</f>
        <v>29.752065977212666</v>
      </c>
      <c r="K170" s="53"/>
      <c r="L170" s="53"/>
      <c r="M170" s="53"/>
      <c r="N170" s="398"/>
      <c r="O170" s="398"/>
      <c r="P170" s="398"/>
      <c r="Q170" s="398"/>
      <c r="R170" s="398"/>
      <c r="S170" s="398"/>
    </row>
    <row r="171" spans="1:19" ht="13.5" thickTop="1">
      <c r="A171" s="398"/>
      <c r="B171" s="53"/>
      <c r="C171" s="46"/>
      <c r="D171" s="38" t="s">
        <v>259</v>
      </c>
      <c r="E171" s="560">
        <f t="shared" ref="E171:J171" si="35">SUM(E169:E170)</f>
        <v>14.605435596741485</v>
      </c>
      <c r="F171" s="550">
        <f t="shared" si="35"/>
        <v>1.4950483996379429</v>
      </c>
      <c r="G171" s="550">
        <f t="shared" si="35"/>
        <v>22.080677594931196</v>
      </c>
      <c r="H171" s="550">
        <f t="shared" si="35"/>
        <v>40.196976175183558</v>
      </c>
      <c r="I171" s="550">
        <f t="shared" si="35"/>
        <v>4.114661593140049</v>
      </c>
      <c r="J171" s="550">
        <f t="shared" si="35"/>
        <v>60.770284140883795</v>
      </c>
      <c r="K171" s="53"/>
      <c r="L171" s="53"/>
      <c r="M171" s="53"/>
      <c r="N171" s="398"/>
      <c r="O171" s="398"/>
      <c r="P171" s="398"/>
      <c r="Q171" s="398"/>
      <c r="R171" s="398"/>
      <c r="S171" s="398"/>
    </row>
    <row r="172" spans="1:19" ht="13.5" thickBot="1">
      <c r="A172" s="398"/>
      <c r="B172" s="53"/>
      <c r="C172" s="53"/>
      <c r="D172" s="53"/>
      <c r="E172" s="595"/>
      <c r="F172" s="595"/>
      <c r="G172" s="595"/>
      <c r="H172" s="595"/>
      <c r="I172" s="595"/>
      <c r="J172" s="595"/>
      <c r="K172" s="53"/>
      <c r="L172" s="53"/>
      <c r="M172" s="53"/>
      <c r="N172" s="398"/>
      <c r="O172" s="398"/>
      <c r="P172" s="398"/>
      <c r="Q172" s="398"/>
      <c r="R172" s="398"/>
      <c r="S172" s="398"/>
    </row>
    <row r="173" spans="1:19" ht="13.5" thickTop="1">
      <c r="A173" s="398"/>
      <c r="B173" s="53"/>
      <c r="C173" s="46"/>
      <c r="D173" s="39" t="s">
        <v>236</v>
      </c>
      <c r="E173" s="560">
        <f t="shared" ref="E173:J173" si="36">SUM(E157,E161,E167,E171)</f>
        <v>94.356345249593844</v>
      </c>
      <c r="F173" s="550">
        <f t="shared" si="36"/>
        <v>10.980156352019755</v>
      </c>
      <c r="G173" s="550">
        <f t="shared" si="36"/>
        <v>149.2571270096926</v>
      </c>
      <c r="H173" s="550">
        <f t="shared" si="36"/>
        <v>259.68686362367117</v>
      </c>
      <c r="I173" s="550">
        <f t="shared" si="36"/>
        <v>30.219508371280572</v>
      </c>
      <c r="J173" s="550">
        <f t="shared" si="36"/>
        <v>410.78440548007399</v>
      </c>
      <c r="K173" s="53"/>
      <c r="L173" s="53"/>
      <c r="M173" s="53"/>
      <c r="N173" s="398"/>
      <c r="O173" s="398"/>
      <c r="P173" s="398"/>
      <c r="Q173" s="398"/>
      <c r="R173" s="398"/>
      <c r="S173" s="398"/>
    </row>
    <row r="174" spans="1:19">
      <c r="A174" s="398"/>
      <c r="B174" s="53"/>
      <c r="C174" s="53"/>
      <c r="D174" s="53"/>
      <c r="E174" s="595"/>
      <c r="F174" s="595"/>
      <c r="G174" s="595"/>
      <c r="H174" s="595"/>
      <c r="I174" s="595"/>
      <c r="J174" s="595"/>
      <c r="K174" s="53"/>
      <c r="L174" s="53"/>
      <c r="M174" s="53"/>
      <c r="N174" s="398"/>
      <c r="O174" s="398"/>
      <c r="P174" s="398"/>
      <c r="Q174" s="398"/>
      <c r="R174" s="398"/>
      <c r="S174" s="398"/>
    </row>
    <row r="175" spans="1:19" s="32" customFormat="1">
      <c r="A175" s="398"/>
      <c r="B175" s="53"/>
      <c r="C175" s="53"/>
      <c r="D175" s="53"/>
      <c r="E175" s="595"/>
      <c r="F175" s="595"/>
      <c r="G175" s="595"/>
      <c r="H175" s="595"/>
      <c r="I175" s="595"/>
      <c r="J175" s="595"/>
      <c r="K175" s="53"/>
      <c r="L175" s="53"/>
      <c r="M175" s="53"/>
      <c r="N175" s="398"/>
      <c r="O175" s="398"/>
      <c r="P175" s="398"/>
      <c r="Q175" s="398"/>
      <c r="R175" s="398"/>
      <c r="S175" s="398"/>
    </row>
    <row r="176" spans="1:19" s="32" customFormat="1">
      <c r="A176" s="398"/>
      <c r="B176" s="53"/>
      <c r="C176" s="53"/>
      <c r="D176" s="53"/>
      <c r="E176" s="595"/>
      <c r="F176" s="595"/>
      <c r="G176" s="595"/>
      <c r="H176" s="595"/>
      <c r="I176" s="595"/>
      <c r="J176" s="595"/>
      <c r="K176" s="53"/>
      <c r="L176" s="53"/>
      <c r="M176" s="53"/>
      <c r="N176" s="398"/>
      <c r="O176" s="398"/>
      <c r="P176" s="398"/>
      <c r="Q176" s="398"/>
      <c r="R176" s="398"/>
      <c r="S176" s="398"/>
    </row>
    <row r="177" spans="1:19" s="32" customFormat="1">
      <c r="A177" s="398"/>
      <c r="B177" s="53"/>
      <c r="C177" s="53"/>
      <c r="D177" s="53"/>
      <c r="E177" s="595"/>
      <c r="F177" s="595"/>
      <c r="G177" s="595"/>
      <c r="H177" s="595"/>
      <c r="I177" s="595"/>
      <c r="J177" s="595"/>
      <c r="K177" s="53"/>
      <c r="L177" s="53"/>
      <c r="M177" s="53"/>
      <c r="N177" s="398"/>
      <c r="O177" s="398"/>
      <c r="P177" s="398"/>
      <c r="Q177" s="398"/>
      <c r="R177" s="398"/>
      <c r="S177" s="398"/>
    </row>
    <row r="178" spans="1:19" s="32" customFormat="1">
      <c r="A178" s="398"/>
      <c r="B178" s="53"/>
      <c r="C178" s="53"/>
      <c r="D178" s="53"/>
      <c r="E178" s="595"/>
      <c r="F178" s="595"/>
      <c r="G178" s="595"/>
      <c r="H178" s="595"/>
      <c r="I178" s="595"/>
      <c r="J178" s="595"/>
      <c r="K178" s="53"/>
      <c r="L178" s="53"/>
      <c r="M178" s="53"/>
      <c r="N178" s="398"/>
      <c r="O178" s="398"/>
      <c r="P178" s="398"/>
      <c r="Q178" s="398"/>
      <c r="R178" s="398"/>
      <c r="S178" s="398"/>
    </row>
    <row r="179" spans="1:19" s="32" customFormat="1">
      <c r="A179" s="398"/>
      <c r="B179" s="53"/>
      <c r="C179" s="53"/>
      <c r="D179" s="53"/>
      <c r="E179" s="595"/>
      <c r="F179" s="595"/>
      <c r="G179" s="595"/>
      <c r="H179" s="595"/>
      <c r="I179" s="595"/>
      <c r="J179" s="595"/>
      <c r="K179" s="53"/>
      <c r="L179" s="53"/>
      <c r="M179" s="53"/>
      <c r="N179" s="398"/>
      <c r="O179" s="398"/>
      <c r="P179" s="398"/>
      <c r="Q179" s="398"/>
      <c r="R179" s="398"/>
      <c r="S179" s="398"/>
    </row>
    <row r="180" spans="1:19" s="32" customFormat="1">
      <c r="A180" s="398"/>
      <c r="B180" s="53"/>
      <c r="C180" s="53"/>
      <c r="D180" s="53"/>
      <c r="E180" s="595"/>
      <c r="F180" s="595"/>
      <c r="G180" s="595"/>
      <c r="H180" s="595"/>
      <c r="I180" s="595"/>
      <c r="J180" s="595"/>
      <c r="K180" s="53"/>
      <c r="L180" s="53"/>
      <c r="M180" s="53"/>
      <c r="N180" s="398"/>
      <c r="O180" s="398"/>
      <c r="P180" s="398"/>
      <c r="Q180" s="398"/>
      <c r="R180" s="398"/>
      <c r="S180" s="398"/>
    </row>
    <row r="181" spans="1:19" s="32" customFormat="1">
      <c r="A181" s="398"/>
      <c r="B181" s="53"/>
      <c r="C181" s="53"/>
      <c r="D181" s="53"/>
      <c r="E181" s="595"/>
      <c r="F181" s="595"/>
      <c r="G181" s="595"/>
      <c r="H181" s="595"/>
      <c r="I181" s="595"/>
      <c r="J181" s="595"/>
      <c r="K181" s="53"/>
      <c r="L181" s="53"/>
      <c r="M181" s="53"/>
      <c r="N181" s="398"/>
      <c r="O181" s="398"/>
      <c r="P181" s="398"/>
      <c r="Q181" s="398"/>
      <c r="R181" s="398"/>
      <c r="S181" s="398"/>
    </row>
    <row r="182" spans="1:19" s="32" customFormat="1">
      <c r="A182" s="398"/>
      <c r="B182" s="53"/>
      <c r="C182" s="53"/>
      <c r="D182" s="53"/>
      <c r="E182" s="595"/>
      <c r="F182" s="595"/>
      <c r="G182" s="595"/>
      <c r="H182" s="595"/>
      <c r="I182" s="595"/>
      <c r="J182" s="595"/>
      <c r="K182" s="53"/>
      <c r="L182" s="53"/>
      <c r="M182" s="53"/>
      <c r="N182" s="398"/>
      <c r="O182" s="398"/>
      <c r="P182" s="398"/>
      <c r="Q182" s="398"/>
      <c r="R182" s="398"/>
      <c r="S182" s="398"/>
    </row>
    <row r="183" spans="1:19" s="32" customFormat="1">
      <c r="A183" s="398"/>
      <c r="B183" s="53"/>
      <c r="C183" s="53"/>
      <c r="D183" s="53"/>
      <c r="E183" s="595"/>
      <c r="F183" s="595"/>
      <c r="G183" s="595"/>
      <c r="H183" s="595"/>
      <c r="I183" s="595"/>
      <c r="J183" s="595"/>
      <c r="K183" s="53"/>
      <c r="L183" s="53"/>
      <c r="M183" s="53"/>
      <c r="N183" s="398"/>
      <c r="O183" s="398"/>
      <c r="P183" s="398"/>
      <c r="Q183" s="398"/>
      <c r="R183" s="398"/>
      <c r="S183" s="398"/>
    </row>
    <row r="184" spans="1:19" s="32" customFormat="1">
      <c r="A184" s="398"/>
      <c r="B184" s="53"/>
      <c r="C184" s="53"/>
      <c r="D184" s="53"/>
      <c r="E184" s="595"/>
      <c r="F184" s="595"/>
      <c r="G184" s="595"/>
      <c r="H184" s="595"/>
      <c r="I184" s="595"/>
      <c r="J184" s="595"/>
      <c r="K184" s="53"/>
      <c r="L184" s="53"/>
      <c r="M184" s="53"/>
      <c r="N184" s="398"/>
      <c r="O184" s="398"/>
      <c r="P184" s="398"/>
      <c r="Q184" s="398"/>
      <c r="R184" s="398"/>
      <c r="S184" s="398"/>
    </row>
    <row r="185" spans="1:19" s="32" customFormat="1">
      <c r="A185" s="398"/>
      <c r="B185" s="53"/>
      <c r="C185" s="53"/>
      <c r="D185" s="53"/>
      <c r="E185" s="595"/>
      <c r="F185" s="595"/>
      <c r="G185" s="595"/>
      <c r="H185" s="595"/>
      <c r="I185" s="595"/>
      <c r="J185" s="595"/>
      <c r="K185" s="53"/>
      <c r="L185" s="53"/>
      <c r="M185" s="53"/>
      <c r="N185" s="398"/>
      <c r="O185" s="398"/>
      <c r="P185" s="398"/>
      <c r="Q185" s="398"/>
      <c r="R185" s="398"/>
      <c r="S185" s="398"/>
    </row>
    <row r="186" spans="1:19" s="32" customFormat="1">
      <c r="A186" s="398"/>
      <c r="B186" s="53"/>
      <c r="C186" s="53"/>
      <c r="D186" s="53"/>
      <c r="E186" s="595"/>
      <c r="F186" s="595"/>
      <c r="G186" s="595"/>
      <c r="H186" s="595"/>
      <c r="I186" s="595"/>
      <c r="J186" s="595"/>
      <c r="K186" s="53"/>
      <c r="L186" s="53"/>
      <c r="M186" s="53"/>
      <c r="N186" s="398"/>
      <c r="O186" s="398"/>
      <c r="P186" s="398"/>
      <c r="Q186" s="398"/>
      <c r="R186" s="398"/>
      <c r="S186" s="398"/>
    </row>
    <row r="187" spans="1:19" s="32" customFormat="1">
      <c r="A187" s="398"/>
      <c r="B187" s="53"/>
      <c r="C187" s="53"/>
      <c r="D187" s="53"/>
      <c r="E187" s="595"/>
      <c r="F187" s="595"/>
      <c r="G187" s="595"/>
      <c r="H187" s="595"/>
      <c r="I187" s="595"/>
      <c r="J187" s="595"/>
      <c r="K187" s="53"/>
      <c r="L187" s="53"/>
      <c r="M187" s="53"/>
      <c r="N187" s="398"/>
      <c r="O187" s="398"/>
      <c r="P187" s="398"/>
      <c r="Q187" s="398"/>
      <c r="R187" s="398"/>
      <c r="S187" s="398"/>
    </row>
    <row r="188" spans="1:19" s="32" customFormat="1">
      <c r="A188" s="398"/>
      <c r="B188" s="53"/>
      <c r="C188" s="53"/>
      <c r="D188" s="53"/>
      <c r="E188" s="595"/>
      <c r="F188" s="595"/>
      <c r="G188" s="595"/>
      <c r="H188" s="595"/>
      <c r="I188" s="595"/>
      <c r="J188" s="595"/>
      <c r="K188" s="53"/>
      <c r="L188" s="53"/>
      <c r="M188" s="53"/>
      <c r="N188" s="398"/>
      <c r="O188" s="398"/>
      <c r="P188" s="398"/>
      <c r="Q188" s="398"/>
      <c r="R188" s="398"/>
      <c r="S188" s="398"/>
    </row>
    <row r="189" spans="1:19" s="32" customFormat="1">
      <c r="A189" s="398"/>
      <c r="B189" s="53"/>
      <c r="C189" s="53"/>
      <c r="D189" s="53"/>
      <c r="E189" s="595"/>
      <c r="F189" s="595"/>
      <c r="G189" s="595"/>
      <c r="H189" s="595"/>
      <c r="I189" s="595"/>
      <c r="J189" s="595"/>
      <c r="K189" s="53"/>
      <c r="L189" s="53"/>
      <c r="M189" s="53"/>
      <c r="N189" s="398"/>
      <c r="O189" s="398"/>
      <c r="P189" s="398"/>
      <c r="Q189" s="398"/>
      <c r="R189" s="398"/>
      <c r="S189" s="398"/>
    </row>
    <row r="190" spans="1:19" s="32" customFormat="1">
      <c r="A190" s="398"/>
      <c r="B190" s="53"/>
      <c r="C190" s="53"/>
      <c r="D190" s="53"/>
      <c r="E190" s="595"/>
      <c r="F190" s="595"/>
      <c r="G190" s="595"/>
      <c r="H190" s="595"/>
      <c r="I190" s="595"/>
      <c r="J190" s="595"/>
      <c r="K190" s="53"/>
      <c r="L190" s="53"/>
      <c r="M190" s="53"/>
      <c r="N190" s="398"/>
      <c r="O190" s="398"/>
      <c r="P190" s="398"/>
      <c r="Q190" s="398"/>
      <c r="R190" s="398"/>
      <c r="S190" s="398"/>
    </row>
    <row r="191" spans="1:19" s="32" customFormat="1">
      <c r="A191" s="398"/>
      <c r="B191" s="53"/>
      <c r="C191" s="53"/>
      <c r="D191" s="53"/>
      <c r="E191" s="595"/>
      <c r="F191" s="595"/>
      <c r="G191" s="595"/>
      <c r="H191" s="595"/>
      <c r="I191" s="595"/>
      <c r="J191" s="595"/>
      <c r="K191" s="53"/>
      <c r="L191" s="53"/>
      <c r="M191" s="53"/>
      <c r="N191" s="398"/>
      <c r="O191" s="398"/>
      <c r="P191" s="398"/>
      <c r="Q191" s="398"/>
      <c r="R191" s="398"/>
      <c r="S191" s="398"/>
    </row>
    <row r="192" spans="1:19" s="32" customFormat="1">
      <c r="A192" s="398"/>
      <c r="B192" s="53"/>
      <c r="C192" s="53"/>
      <c r="D192" s="53"/>
      <c r="E192" s="595"/>
      <c r="F192" s="595"/>
      <c r="G192" s="595"/>
      <c r="H192" s="595"/>
      <c r="I192" s="595"/>
      <c r="J192" s="595"/>
      <c r="K192" s="53"/>
      <c r="L192" s="53"/>
      <c r="M192" s="53"/>
      <c r="N192" s="398"/>
      <c r="O192" s="398"/>
      <c r="P192" s="398"/>
      <c r="Q192" s="398"/>
      <c r="R192" s="398"/>
      <c r="S192" s="398"/>
    </row>
    <row r="193" spans="1:19" s="32" customFormat="1">
      <c r="A193" s="398"/>
      <c r="B193" s="53"/>
      <c r="C193" s="53"/>
      <c r="D193" s="53"/>
      <c r="E193" s="595"/>
      <c r="F193" s="595"/>
      <c r="G193" s="595"/>
      <c r="H193" s="595"/>
      <c r="I193" s="595"/>
      <c r="J193" s="595"/>
      <c r="K193" s="53"/>
      <c r="L193" s="53"/>
      <c r="M193" s="53"/>
      <c r="N193" s="398"/>
      <c r="O193" s="398"/>
      <c r="P193" s="398"/>
      <c r="Q193" s="398"/>
      <c r="R193" s="398"/>
      <c r="S193" s="398"/>
    </row>
    <row r="194" spans="1:19" s="32" customFormat="1">
      <c r="A194" s="398"/>
      <c r="B194" s="53"/>
      <c r="C194" s="53"/>
      <c r="D194" s="53"/>
      <c r="E194" s="595"/>
      <c r="F194" s="595"/>
      <c r="G194" s="595"/>
      <c r="H194" s="595"/>
      <c r="I194" s="595"/>
      <c r="J194" s="595"/>
      <c r="K194" s="53"/>
      <c r="L194" s="53"/>
      <c r="M194" s="53"/>
      <c r="N194" s="398"/>
      <c r="O194" s="398"/>
      <c r="P194" s="398"/>
      <c r="Q194" s="398"/>
      <c r="R194" s="398"/>
      <c r="S194" s="398"/>
    </row>
    <row r="195" spans="1:19" s="32" customFormat="1">
      <c r="A195" s="398"/>
      <c r="B195" s="53"/>
      <c r="C195" s="53"/>
      <c r="D195" s="53"/>
      <c r="E195" s="595"/>
      <c r="F195" s="595"/>
      <c r="G195" s="595"/>
      <c r="H195" s="595"/>
      <c r="I195" s="595"/>
      <c r="J195" s="595"/>
      <c r="K195" s="53"/>
      <c r="L195" s="53"/>
      <c r="M195" s="53"/>
      <c r="N195" s="398"/>
      <c r="O195" s="398"/>
      <c r="P195" s="398"/>
      <c r="Q195" s="398"/>
      <c r="R195" s="398"/>
      <c r="S195" s="398"/>
    </row>
    <row r="196" spans="1:19" s="32" customFormat="1">
      <c r="A196" s="398"/>
      <c r="B196" s="53"/>
      <c r="C196" s="53"/>
      <c r="D196" s="53"/>
      <c r="E196" s="595"/>
      <c r="F196" s="595"/>
      <c r="G196" s="595"/>
      <c r="H196" s="595"/>
      <c r="I196" s="595"/>
      <c r="J196" s="595"/>
      <c r="K196" s="53"/>
      <c r="L196" s="53"/>
      <c r="M196" s="53"/>
      <c r="N196" s="398"/>
      <c r="O196" s="398"/>
      <c r="P196" s="398"/>
      <c r="Q196" s="398"/>
      <c r="R196" s="398"/>
      <c r="S196" s="398"/>
    </row>
    <row r="197" spans="1:19" s="32" customFormat="1">
      <c r="A197" s="398"/>
      <c r="B197" s="53"/>
      <c r="C197" s="53"/>
      <c r="D197" s="53"/>
      <c r="E197" s="595"/>
      <c r="F197" s="595"/>
      <c r="G197" s="595"/>
      <c r="H197" s="595"/>
      <c r="I197" s="595"/>
      <c r="J197" s="595"/>
      <c r="K197" s="53"/>
      <c r="L197" s="53"/>
      <c r="M197" s="53"/>
      <c r="N197" s="398"/>
      <c r="O197" s="398"/>
      <c r="P197" s="398"/>
      <c r="Q197" s="398"/>
      <c r="R197" s="398"/>
      <c r="S197" s="398"/>
    </row>
    <row r="198" spans="1:19" s="32" customFormat="1" ht="6" customHeight="1">
      <c r="A198" s="398"/>
      <c r="B198" s="398"/>
      <c r="C198" s="398"/>
      <c r="D198" s="398"/>
      <c r="E198" s="580"/>
      <c r="F198" s="580"/>
      <c r="G198" s="580"/>
      <c r="H198" s="580"/>
      <c r="I198" s="580"/>
      <c r="J198" s="580"/>
      <c r="K198" s="398"/>
      <c r="L198" s="398"/>
      <c r="M198" s="398"/>
      <c r="N198" s="398"/>
      <c r="O198" s="398"/>
      <c r="P198" s="398"/>
      <c r="Q198" s="398"/>
      <c r="R198" s="398"/>
      <c r="S198" s="398"/>
    </row>
    <row r="199" spans="1:19" s="75" customFormat="1" ht="22.5">
      <c r="A199" s="29" t="s">
        <v>366</v>
      </c>
      <c r="B199" s="29"/>
      <c r="C199" s="29"/>
      <c r="D199" s="398"/>
      <c r="E199" s="398"/>
      <c r="F199" s="398"/>
      <c r="G199" s="398"/>
      <c r="H199" s="398"/>
      <c r="I199" s="398"/>
      <c r="J199" s="398"/>
      <c r="K199" s="398"/>
      <c r="L199" s="398"/>
      <c r="M199" s="398"/>
      <c r="N199" s="398"/>
      <c r="O199" s="398"/>
      <c r="P199" s="398"/>
      <c r="Q199" s="398"/>
      <c r="R199" s="398"/>
      <c r="S199" s="398"/>
    </row>
    <row r="200" spans="1:19" s="105" customFormat="1" ht="63" customHeight="1">
      <c r="A200" s="53"/>
      <c r="B200" s="703"/>
      <c r="C200" s="797" t="s">
        <v>803</v>
      </c>
      <c r="D200" s="797"/>
      <c r="E200" s="797"/>
      <c r="F200" s="797"/>
      <c r="G200" s="797"/>
      <c r="H200" s="797"/>
      <c r="I200" s="797"/>
      <c r="J200" s="797"/>
      <c r="K200" s="797"/>
      <c r="L200" s="797"/>
      <c r="M200" s="703"/>
      <c r="N200" s="398"/>
      <c r="O200" s="398"/>
      <c r="P200" s="398"/>
      <c r="Q200" s="398"/>
      <c r="R200" s="398"/>
      <c r="S200" s="398"/>
    </row>
    <row r="201" spans="1:19" s="75" customFormat="1">
      <c r="A201" s="398"/>
      <c r="B201" s="53"/>
      <c r="C201" s="703"/>
      <c r="D201" s="703"/>
      <c r="E201" s="703"/>
      <c r="F201" s="703"/>
      <c r="G201" s="703"/>
      <c r="H201" s="703"/>
      <c r="I201" s="703"/>
      <c r="J201" s="703"/>
      <c r="K201" s="703"/>
      <c r="L201" s="703"/>
      <c r="M201" s="703"/>
      <c r="N201" s="398"/>
      <c r="O201" s="398"/>
      <c r="P201" s="398"/>
      <c r="Q201" s="398"/>
      <c r="R201" s="398"/>
      <c r="S201" s="398"/>
    </row>
    <row r="202" spans="1:19" s="75" customFormat="1">
      <c r="A202" s="398"/>
      <c r="B202" s="53"/>
      <c r="C202" s="703"/>
      <c r="D202" s="703"/>
      <c r="E202" s="703"/>
      <c r="F202" s="703"/>
      <c r="G202" s="703"/>
      <c r="H202" s="703"/>
      <c r="I202" s="703"/>
      <c r="J202" s="703"/>
      <c r="K202" s="703"/>
      <c r="L202" s="703"/>
      <c r="M202" s="703"/>
      <c r="N202" s="398"/>
      <c r="O202" s="398"/>
      <c r="P202" s="398"/>
      <c r="Q202" s="398"/>
      <c r="R202" s="398"/>
      <c r="S202" s="398"/>
    </row>
    <row r="203" spans="1:19" s="75" customFormat="1">
      <c r="A203" s="398"/>
      <c r="B203" s="53"/>
      <c r="C203" s="703"/>
      <c r="D203" s="703"/>
      <c r="E203" s="703"/>
      <c r="F203" s="703"/>
      <c r="G203" s="703"/>
      <c r="H203" s="703"/>
      <c r="I203" s="703"/>
      <c r="J203" s="703"/>
      <c r="K203" s="703"/>
      <c r="L203" s="703"/>
      <c r="M203" s="703"/>
      <c r="N203" s="398"/>
      <c r="O203" s="398"/>
      <c r="P203" s="398"/>
      <c r="Q203" s="398"/>
      <c r="R203" s="398"/>
      <c r="S203" s="398"/>
    </row>
    <row r="204" spans="1:19" s="75" customFormat="1">
      <c r="A204" s="398"/>
      <c r="B204" s="53"/>
      <c r="C204" s="703"/>
      <c r="D204" s="703"/>
      <c r="E204" s="703"/>
      <c r="F204" s="703"/>
      <c r="G204" s="703"/>
      <c r="H204" s="703"/>
      <c r="I204" s="703"/>
      <c r="J204" s="703"/>
      <c r="K204" s="703"/>
      <c r="L204" s="703"/>
      <c r="M204" s="703"/>
      <c r="N204" s="398"/>
      <c r="O204" s="398"/>
      <c r="P204" s="398"/>
      <c r="Q204" s="398"/>
      <c r="R204" s="398"/>
      <c r="S204" s="398"/>
    </row>
    <row r="205" spans="1:19" s="75" customFormat="1">
      <c r="A205" s="398"/>
      <c r="B205" s="53"/>
      <c r="C205" s="703"/>
      <c r="D205" s="703"/>
      <c r="E205" s="703"/>
      <c r="F205" s="703"/>
      <c r="G205" s="703"/>
      <c r="H205" s="703"/>
      <c r="I205" s="703"/>
      <c r="J205" s="703"/>
      <c r="K205" s="703"/>
      <c r="L205" s="703"/>
      <c r="M205" s="703"/>
      <c r="N205" s="398"/>
      <c r="O205" s="398"/>
      <c r="P205" s="398"/>
      <c r="Q205" s="398"/>
      <c r="R205" s="398"/>
      <c r="S205" s="398"/>
    </row>
    <row r="206" spans="1:19" s="75" customFormat="1">
      <c r="A206" s="398"/>
      <c r="B206" s="53"/>
      <c r="C206" s="703"/>
      <c r="D206" s="703"/>
      <c r="E206" s="703"/>
      <c r="F206" s="703"/>
      <c r="G206" s="703"/>
      <c r="H206" s="703"/>
      <c r="I206" s="703"/>
      <c r="J206" s="703"/>
      <c r="K206" s="703"/>
      <c r="L206" s="703"/>
      <c r="M206" s="703"/>
      <c r="N206" s="398"/>
      <c r="O206" s="398"/>
      <c r="P206" s="398"/>
      <c r="Q206" s="398"/>
      <c r="R206" s="398"/>
      <c r="S206" s="398"/>
    </row>
    <row r="207" spans="1:19" s="75" customFormat="1">
      <c r="A207" s="398"/>
      <c r="B207" s="53"/>
      <c r="C207" s="703"/>
      <c r="D207" s="703"/>
      <c r="E207" s="703"/>
      <c r="F207" s="703"/>
      <c r="G207" s="703"/>
      <c r="H207" s="703"/>
      <c r="I207" s="703"/>
      <c r="J207" s="703"/>
      <c r="K207" s="703"/>
      <c r="L207" s="703"/>
      <c r="M207" s="703"/>
      <c r="N207" s="398"/>
      <c r="O207" s="398"/>
      <c r="P207" s="398"/>
      <c r="Q207" s="398"/>
      <c r="R207" s="398"/>
      <c r="S207" s="398"/>
    </row>
    <row r="208" spans="1:19" s="75" customFormat="1">
      <c r="A208" s="398"/>
      <c r="B208" s="53"/>
      <c r="C208" s="703"/>
      <c r="D208" s="703"/>
      <c r="E208" s="703"/>
      <c r="F208" s="703"/>
      <c r="G208" s="703"/>
      <c r="H208" s="703"/>
      <c r="I208" s="703"/>
      <c r="J208" s="703"/>
      <c r="K208" s="703"/>
      <c r="L208" s="703"/>
      <c r="M208" s="703"/>
      <c r="N208" s="398"/>
      <c r="O208" s="398"/>
      <c r="P208" s="398"/>
      <c r="Q208" s="398"/>
      <c r="R208" s="398"/>
      <c r="S208" s="398"/>
    </row>
    <row r="209" spans="1:19" s="75" customFormat="1">
      <c r="A209" s="398"/>
      <c r="B209" s="53"/>
      <c r="C209" s="703"/>
      <c r="D209" s="703"/>
      <c r="E209" s="703"/>
      <c r="F209" s="703"/>
      <c r="G209" s="703"/>
      <c r="H209" s="703"/>
      <c r="I209" s="703"/>
      <c r="J209" s="703"/>
      <c r="K209" s="703"/>
      <c r="L209" s="703"/>
      <c r="M209" s="703"/>
      <c r="N209" s="398"/>
      <c r="O209" s="398"/>
      <c r="P209" s="398"/>
      <c r="Q209" s="398"/>
      <c r="R209" s="398"/>
      <c r="S209" s="398"/>
    </row>
    <row r="210" spans="1:19" s="75" customFormat="1">
      <c r="A210" s="398"/>
      <c r="B210" s="53"/>
      <c r="C210" s="703"/>
      <c r="D210" s="703"/>
      <c r="E210" s="703"/>
      <c r="F210" s="703"/>
      <c r="G210" s="703"/>
      <c r="H210" s="703"/>
      <c r="I210" s="703"/>
      <c r="J210" s="703"/>
      <c r="K210" s="703"/>
      <c r="L210" s="703"/>
      <c r="M210" s="703"/>
      <c r="N210" s="398"/>
      <c r="O210" s="398"/>
      <c r="P210" s="398"/>
      <c r="Q210" s="398"/>
      <c r="R210" s="398"/>
      <c r="S210" s="398"/>
    </row>
    <row r="211" spans="1:19" s="75" customFormat="1">
      <c r="A211" s="398"/>
      <c r="B211" s="53"/>
      <c r="C211" s="703"/>
      <c r="D211" s="703"/>
      <c r="E211" s="703"/>
      <c r="F211" s="703"/>
      <c r="G211" s="703"/>
      <c r="H211" s="703"/>
      <c r="I211" s="703"/>
      <c r="J211" s="703"/>
      <c r="K211" s="703"/>
      <c r="L211" s="703"/>
      <c r="M211" s="703"/>
      <c r="N211" s="398"/>
      <c r="O211" s="398"/>
      <c r="P211" s="398"/>
      <c r="Q211" s="398"/>
      <c r="R211" s="398"/>
      <c r="S211" s="398"/>
    </row>
    <row r="212" spans="1:19" s="75" customFormat="1">
      <c r="A212" s="398"/>
      <c r="B212" s="53"/>
      <c r="C212" s="703"/>
      <c r="D212" s="703"/>
      <c r="E212" s="703"/>
      <c r="F212" s="703"/>
      <c r="G212" s="703"/>
      <c r="H212" s="703"/>
      <c r="I212" s="703"/>
      <c r="J212" s="703"/>
      <c r="K212" s="703"/>
      <c r="L212" s="703"/>
      <c r="M212" s="703"/>
      <c r="N212" s="398"/>
      <c r="O212" s="398"/>
      <c r="P212" s="398"/>
      <c r="Q212" s="398"/>
      <c r="R212" s="398"/>
      <c r="S212" s="398"/>
    </row>
    <row r="213" spans="1:19" s="75" customFormat="1">
      <c r="A213" s="398"/>
      <c r="B213" s="53"/>
      <c r="C213" s="703"/>
      <c r="D213" s="703"/>
      <c r="E213" s="703"/>
      <c r="F213" s="703"/>
      <c r="G213" s="703"/>
      <c r="H213" s="703"/>
      <c r="I213" s="703"/>
      <c r="J213" s="703"/>
      <c r="K213" s="703"/>
      <c r="L213" s="703"/>
      <c r="M213" s="703"/>
      <c r="N213" s="398"/>
      <c r="O213" s="398"/>
      <c r="P213" s="398"/>
      <c r="Q213" s="398"/>
      <c r="R213" s="398"/>
      <c r="S213" s="398"/>
    </row>
    <row r="214" spans="1:19" s="75" customFormat="1">
      <c r="A214" s="398"/>
      <c r="B214" s="53"/>
      <c r="C214" s="703"/>
      <c r="D214" s="703"/>
      <c r="E214" s="703"/>
      <c r="F214" s="703"/>
      <c r="G214" s="703"/>
      <c r="H214" s="703"/>
      <c r="I214" s="703"/>
      <c r="J214" s="703"/>
      <c r="K214" s="703"/>
      <c r="L214" s="703"/>
      <c r="M214" s="703"/>
      <c r="N214" s="398"/>
      <c r="O214" s="398"/>
      <c r="P214" s="398"/>
      <c r="Q214" s="398"/>
      <c r="R214" s="398"/>
      <c r="S214" s="398"/>
    </row>
    <row r="215" spans="1:19" s="75" customFormat="1">
      <c r="A215" s="398"/>
      <c r="B215" s="53"/>
      <c r="C215" s="703"/>
      <c r="D215" s="703"/>
      <c r="E215" s="703"/>
      <c r="F215" s="703"/>
      <c r="G215" s="703"/>
      <c r="H215" s="703"/>
      <c r="I215" s="703"/>
      <c r="J215" s="703"/>
      <c r="K215" s="703"/>
      <c r="L215" s="703"/>
      <c r="M215" s="703"/>
      <c r="N215" s="398"/>
      <c r="O215" s="398"/>
      <c r="P215" s="398"/>
      <c r="Q215" s="398"/>
      <c r="R215" s="398"/>
      <c r="S215" s="398"/>
    </row>
    <row r="216" spans="1:19" s="75" customFormat="1">
      <c r="A216" s="398"/>
      <c r="B216" s="53"/>
      <c r="C216" s="703"/>
      <c r="D216" s="703"/>
      <c r="E216" s="703"/>
      <c r="F216" s="703"/>
      <c r="G216" s="703"/>
      <c r="H216" s="703"/>
      <c r="I216" s="703"/>
      <c r="J216" s="703"/>
      <c r="K216" s="703"/>
      <c r="L216" s="703"/>
      <c r="M216" s="703"/>
      <c r="N216" s="398"/>
      <c r="O216" s="398"/>
      <c r="P216" s="398"/>
      <c r="Q216" s="398"/>
      <c r="R216" s="398"/>
      <c r="S216" s="398"/>
    </row>
    <row r="217" spans="1:19" s="75" customFormat="1">
      <c r="A217" s="398"/>
      <c r="B217" s="53"/>
      <c r="C217" s="703"/>
      <c r="D217" s="703"/>
      <c r="E217" s="703"/>
      <c r="F217" s="703"/>
      <c r="G217" s="703"/>
      <c r="H217" s="703"/>
      <c r="I217" s="703"/>
      <c r="J217" s="703"/>
      <c r="K217" s="703"/>
      <c r="L217" s="703"/>
      <c r="M217" s="703"/>
      <c r="N217" s="398"/>
      <c r="O217" s="398"/>
      <c r="P217" s="398"/>
      <c r="Q217" s="398"/>
      <c r="R217" s="398"/>
      <c r="S217" s="398"/>
    </row>
    <row r="218" spans="1:19" s="75" customFormat="1">
      <c r="A218" s="398"/>
      <c r="B218" s="53"/>
      <c r="C218" s="703"/>
      <c r="D218" s="703"/>
      <c r="E218" s="703"/>
      <c r="F218" s="703"/>
      <c r="G218" s="703"/>
      <c r="H218" s="703"/>
      <c r="I218" s="703"/>
      <c r="J218" s="703"/>
      <c r="K218" s="703"/>
      <c r="L218" s="703"/>
      <c r="M218" s="703"/>
      <c r="N218" s="398"/>
      <c r="O218" s="398"/>
      <c r="P218" s="398"/>
      <c r="Q218" s="398"/>
      <c r="R218" s="398"/>
      <c r="S218" s="398"/>
    </row>
    <row r="219" spans="1:19" s="75" customFormat="1">
      <c r="A219" s="398"/>
      <c r="B219" s="53"/>
      <c r="C219" s="703"/>
      <c r="D219" s="703"/>
      <c r="E219" s="703"/>
      <c r="F219" s="703"/>
      <c r="G219" s="703"/>
      <c r="H219" s="703"/>
      <c r="I219" s="703"/>
      <c r="J219" s="703"/>
      <c r="K219" s="703"/>
      <c r="L219" s="703"/>
      <c r="M219" s="703"/>
      <c r="N219" s="398"/>
      <c r="O219" s="398"/>
      <c r="P219" s="398"/>
      <c r="Q219" s="398"/>
      <c r="R219" s="398"/>
      <c r="S219" s="398"/>
    </row>
    <row r="220" spans="1:19" s="75" customFormat="1">
      <c r="A220" s="398"/>
      <c r="B220" s="53"/>
      <c r="C220" s="703"/>
      <c r="D220" s="703"/>
      <c r="E220" s="703"/>
      <c r="F220" s="703"/>
      <c r="G220" s="703"/>
      <c r="H220" s="703"/>
      <c r="I220" s="703"/>
      <c r="J220" s="703"/>
      <c r="K220" s="703"/>
      <c r="L220" s="703"/>
      <c r="M220" s="703"/>
      <c r="N220" s="398"/>
      <c r="O220" s="398"/>
      <c r="P220" s="398"/>
      <c r="Q220" s="398"/>
      <c r="R220" s="398"/>
      <c r="S220" s="398"/>
    </row>
    <row r="221" spans="1:19" s="75" customFormat="1" ht="15">
      <c r="A221" s="398"/>
      <c r="B221" s="672" t="s">
        <v>804</v>
      </c>
      <c r="C221" s="97"/>
      <c r="D221" s="703"/>
      <c r="E221" s="703"/>
      <c r="F221" s="703"/>
      <c r="G221" s="703"/>
      <c r="H221" s="703"/>
      <c r="I221" s="703"/>
      <c r="J221" s="703"/>
      <c r="K221" s="703"/>
      <c r="L221" s="703"/>
      <c r="M221" s="703"/>
      <c r="N221" s="398"/>
      <c r="O221" s="398"/>
      <c r="P221" s="398"/>
      <c r="Q221" s="398"/>
      <c r="R221" s="398"/>
      <c r="S221" s="398"/>
    </row>
    <row r="222" spans="1:19" s="75" customFormat="1" ht="6" customHeight="1">
      <c r="A222" s="398"/>
      <c r="B222" s="53"/>
      <c r="C222" s="53"/>
      <c r="D222" s="398"/>
      <c r="E222" s="398"/>
      <c r="F222" s="398"/>
      <c r="G222" s="398"/>
      <c r="H222" s="398"/>
      <c r="I222" s="398"/>
      <c r="J222" s="398"/>
      <c r="K222" s="398"/>
      <c r="L222" s="398"/>
      <c r="M222" s="53"/>
      <c r="N222" s="398"/>
      <c r="O222" s="398"/>
      <c r="P222" s="398"/>
      <c r="Q222" s="398"/>
      <c r="R222" s="398"/>
      <c r="S222" s="398"/>
    </row>
    <row r="223" spans="1:19" s="75" customFormat="1">
      <c r="A223" s="398"/>
      <c r="B223" s="53"/>
      <c r="C223" s="53"/>
      <c r="D223" s="398"/>
      <c r="E223" s="671" t="str">
        <f>TCO!F6</f>
        <v>As-Is</v>
      </c>
      <c r="F223" s="671" t="str">
        <f>TCO!G6</f>
        <v>To-Be</v>
      </c>
      <c r="G223" s="671" t="str">
        <f>TCO!H6</f>
        <v>Savings</v>
      </c>
      <c r="H223" s="671" t="str">
        <f>TCO!I6</f>
        <v>% Savings</v>
      </c>
      <c r="I223" s="398"/>
      <c r="J223" s="398"/>
      <c r="K223" s="398"/>
      <c r="L223" s="398"/>
      <c r="M223" s="53"/>
      <c r="N223" s="398"/>
      <c r="O223" s="398"/>
      <c r="P223" s="398"/>
      <c r="Q223" s="398"/>
      <c r="R223" s="398"/>
      <c r="S223" s="398"/>
    </row>
    <row r="224" spans="1:19" s="75" customFormat="1" ht="14.25">
      <c r="A224" s="398"/>
      <c r="B224" s="53"/>
      <c r="C224" s="706" t="str">
        <f>TCO!B7</f>
        <v>IT Spending</v>
      </c>
      <c r="D224" s="398"/>
      <c r="E224" s="398"/>
      <c r="F224" s="398"/>
      <c r="G224" s="398"/>
      <c r="H224" s="398"/>
      <c r="I224" s="398"/>
      <c r="J224" s="398"/>
      <c r="K224" s="398"/>
      <c r="L224" s="398"/>
      <c r="M224" s="53"/>
      <c r="N224" s="398"/>
      <c r="O224" s="398"/>
      <c r="P224" s="398"/>
      <c r="Q224" s="398"/>
      <c r="R224" s="398"/>
      <c r="S224" s="398"/>
    </row>
    <row r="225" spans="1:19" s="75" customFormat="1">
      <c r="A225" s="398"/>
      <c r="B225" s="53"/>
      <c r="C225" s="53"/>
      <c r="D225" s="696" t="str">
        <f>TCO!C8</f>
        <v>Total IT Spending (000)</v>
      </c>
      <c r="E225" s="600">
        <f>TCO!F8</f>
        <v>41531.000664562191</v>
      </c>
      <c r="F225" s="600">
        <f>TCO!G8</f>
        <v>41264.871730970714</v>
      </c>
      <c r="G225" s="600">
        <f>TCO!H8</f>
        <v>266.12893359147711</v>
      </c>
      <c r="H225" s="89">
        <f>TCO!I8</f>
        <v>6.4079586172495267E-3</v>
      </c>
      <c r="I225" s="398"/>
      <c r="J225" s="398"/>
      <c r="K225" s="53"/>
      <c r="L225" s="53"/>
      <c r="M225" s="53"/>
      <c r="N225" s="398"/>
      <c r="O225" s="398"/>
      <c r="P225" s="398"/>
      <c r="Q225" s="398"/>
      <c r="R225" s="398"/>
      <c r="S225" s="398"/>
    </row>
    <row r="226" spans="1:19" s="75" customFormat="1">
      <c r="A226" s="398"/>
      <c r="B226" s="53"/>
      <c r="C226" s="53"/>
      <c r="D226" s="696" t="str">
        <f>TCO!C9</f>
        <v>IT Spending per Employee</v>
      </c>
      <c r="E226" s="601">
        <f>TCO!F9</f>
        <v>8306.2001329124396</v>
      </c>
      <c r="F226" s="601">
        <f>TCO!G9</f>
        <v>8252.9743461941416</v>
      </c>
      <c r="G226" s="600">
        <f>TCO!H9</f>
        <v>53.225786718297968</v>
      </c>
      <c r="H226" s="89">
        <f>TCO!I9</f>
        <v>6.407958617249832E-3</v>
      </c>
      <c r="I226" s="398"/>
      <c r="J226" s="398"/>
      <c r="K226" s="53"/>
      <c r="L226" s="53"/>
      <c r="M226" s="53"/>
      <c r="N226" s="398"/>
      <c r="O226" s="398"/>
      <c r="P226" s="398"/>
      <c r="Q226" s="398"/>
      <c r="R226" s="398"/>
      <c r="S226" s="398"/>
    </row>
    <row r="227" spans="1:19" s="75" customFormat="1">
      <c r="A227" s="398"/>
      <c r="B227" s="53"/>
      <c r="C227" s="53"/>
      <c r="D227" s="696" t="str">
        <f>TCO!C10</f>
        <v>IT Spending per PC User</v>
      </c>
      <c r="E227" s="601">
        <f>TCO!F10</f>
        <v>15090.148891571962</v>
      </c>
      <c r="F227" s="601">
        <f>TCO!G10</f>
        <v>14993.451841946635</v>
      </c>
      <c r="G227" s="601">
        <f>TCO!H10</f>
        <v>96.697049625327054</v>
      </c>
      <c r="H227" s="89">
        <f>TCO!I10</f>
        <v>6.4079586172495337E-3</v>
      </c>
      <c r="I227" s="398"/>
      <c r="J227" s="398"/>
      <c r="K227" s="53"/>
      <c r="L227" s="53"/>
      <c r="M227" s="53"/>
      <c r="N227" s="398"/>
      <c r="O227" s="398"/>
      <c r="P227" s="398"/>
      <c r="Q227" s="398"/>
      <c r="R227" s="398"/>
      <c r="S227" s="398"/>
    </row>
    <row r="228" spans="1:19" s="75" customFormat="1" ht="25.5">
      <c r="A228" s="398"/>
      <c r="B228" s="53"/>
      <c r="C228" s="53"/>
      <c r="D228" s="696" t="str">
        <f>TCO!C11</f>
        <v>IT Spending as % of Operating Expenses</v>
      </c>
      <c r="E228" s="89">
        <f>TCO!F11</f>
        <v>2.241125333002783E-2</v>
      </c>
      <c r="F228" s="89">
        <f>TCO!G11</f>
        <v>2.2267642946128315E-2</v>
      </c>
      <c r="G228" s="89">
        <f>TCO!H11</f>
        <v>1.4361038389951522E-4</v>
      </c>
      <c r="H228" s="89">
        <f>TCO!I11</f>
        <v>6.4079586172495814E-3</v>
      </c>
      <c r="I228" s="398"/>
      <c r="J228" s="398"/>
      <c r="K228" s="53"/>
      <c r="L228" s="53"/>
      <c r="M228" s="53"/>
      <c r="N228" s="398"/>
      <c r="O228" s="398"/>
      <c r="P228" s="398"/>
      <c r="Q228" s="398"/>
      <c r="R228" s="398"/>
      <c r="S228" s="398"/>
    </row>
    <row r="229" spans="1:19" s="75" customFormat="1">
      <c r="A229" s="398"/>
      <c r="B229" s="53"/>
      <c r="C229" s="53"/>
      <c r="D229" s="696" t="str">
        <f>TCO!C12</f>
        <v>IT Spending as % of Revenue</v>
      </c>
      <c r="E229" s="89">
        <f>TCO!F12</f>
        <v>1.8594553092481987E-2</v>
      </c>
      <c r="F229" s="89">
        <f>TCO!G12</f>
        <v>1.8475399965759112E-2</v>
      </c>
      <c r="G229" s="89">
        <f>TCO!H12</f>
        <v>1.1915312672287556E-4</v>
      </c>
      <c r="H229" s="89">
        <f>TCO!I12</f>
        <v>6.4079586172496221E-3</v>
      </c>
      <c r="I229" s="398"/>
      <c r="J229" s="398"/>
      <c r="K229" s="53"/>
      <c r="L229" s="53"/>
      <c r="M229" s="53"/>
      <c r="N229" s="398"/>
      <c r="O229" s="398"/>
      <c r="P229" s="398"/>
      <c r="Q229" s="398"/>
      <c r="R229" s="398"/>
      <c r="S229" s="398"/>
    </row>
    <row r="230" spans="1:19" s="75" customFormat="1" ht="14.25">
      <c r="A230" s="398"/>
      <c r="B230" s="53"/>
      <c r="C230" s="706" t="str">
        <f>TCO!B13</f>
        <v>IT Staffing</v>
      </c>
      <c r="D230" s="398"/>
      <c r="E230" s="398"/>
      <c r="F230" s="398"/>
      <c r="G230" s="398"/>
      <c r="H230" s="254"/>
      <c r="I230" s="398"/>
      <c r="J230" s="398"/>
      <c r="K230" s="398"/>
      <c r="L230" s="398"/>
      <c r="M230" s="53"/>
      <c r="N230" s="398"/>
      <c r="O230" s="398"/>
      <c r="P230" s="398"/>
      <c r="Q230" s="398"/>
      <c r="R230" s="398"/>
      <c r="S230" s="398"/>
    </row>
    <row r="231" spans="1:19" s="75" customFormat="1">
      <c r="A231" s="398"/>
      <c r="B231" s="53"/>
      <c r="C231" s="53"/>
      <c r="D231" s="696" t="str">
        <f>TCO!C14</f>
        <v>Total IT Personnel FTEs</v>
      </c>
      <c r="E231" s="255">
        <f>TCO!F14</f>
        <v>94.395784792304454</v>
      </c>
      <c r="F231" s="255">
        <f>TCO!G14</f>
        <v>93.759557202804331</v>
      </c>
      <c r="G231" s="255">
        <f>TCO!H14</f>
        <v>0.63622758950012326</v>
      </c>
      <c r="H231" s="89">
        <f>TCO!I14</f>
        <v>6.7399999999999075E-3</v>
      </c>
      <c r="I231" s="398"/>
      <c r="J231" s="398"/>
      <c r="K231" s="53"/>
      <c r="L231" s="53"/>
      <c r="M231" s="53"/>
      <c r="N231" s="398"/>
      <c r="O231" s="398"/>
      <c r="P231" s="398"/>
      <c r="Q231" s="398"/>
      <c r="R231" s="398"/>
      <c r="S231" s="398"/>
    </row>
    <row r="232" spans="1:19" s="75" customFormat="1">
      <c r="A232" s="398"/>
      <c r="B232" s="53"/>
      <c r="C232" s="53"/>
      <c r="D232" s="696" t="str">
        <f>TCO!C15</f>
        <v>IT Personnel as % of Employees</v>
      </c>
      <c r="E232" s="256">
        <f>TCO!F15</f>
        <v>1.8879156958460892E-2</v>
      </c>
      <c r="F232" s="256">
        <f>TCO!G15</f>
        <v>1.8751911440560865E-2</v>
      </c>
      <c r="G232" s="256">
        <f>TCO!H15</f>
        <v>1.2724551790002647E-4</v>
      </c>
      <c r="H232" s="89">
        <f>TCO!I15</f>
        <v>6.7400000000000029E-3</v>
      </c>
      <c r="I232" s="398"/>
      <c r="J232" s="398"/>
      <c r="K232" s="53"/>
      <c r="L232" s="53"/>
      <c r="M232" s="53"/>
      <c r="N232" s="398"/>
      <c r="O232" s="398"/>
      <c r="P232" s="398"/>
      <c r="Q232" s="398"/>
      <c r="R232" s="398"/>
      <c r="S232" s="398"/>
    </row>
    <row r="233" spans="1:19" s="75" customFormat="1">
      <c r="A233" s="398"/>
      <c r="B233" s="53"/>
      <c r="C233" s="53"/>
      <c r="D233" s="696" t="str">
        <f>TCO!C16</f>
        <v>IT Personnel as % of PC Users</v>
      </c>
      <c r="E233" s="256">
        <f>TCO!F16</f>
        <v>3.4298389744028449E-2</v>
      </c>
      <c r="F233" s="256">
        <f>TCO!G16</f>
        <v>3.4067218597153705E-2</v>
      </c>
      <c r="G233" s="256">
        <f>TCO!H16</f>
        <v>2.3117114687474377E-4</v>
      </c>
      <c r="H233" s="89">
        <f>TCO!I16</f>
        <v>6.7399999999997679E-3</v>
      </c>
      <c r="I233" s="398"/>
      <c r="J233" s="398"/>
      <c r="K233" s="53"/>
      <c r="L233" s="53"/>
      <c r="M233" s="53"/>
      <c r="N233" s="398"/>
      <c r="O233" s="398"/>
      <c r="P233" s="398"/>
      <c r="Q233" s="398"/>
      <c r="R233" s="398"/>
      <c r="S233" s="398"/>
    </row>
    <row r="234" spans="1:19" s="75" customFormat="1">
      <c r="A234" s="398"/>
      <c r="B234" s="53"/>
      <c r="C234" s="53"/>
      <c r="D234" s="696" t="str">
        <f>TCO!C17</f>
        <v>Ratio of Employees to IT Personnel</v>
      </c>
      <c r="E234" s="255">
        <f>TCO!F17</f>
        <v>52.968466875944884</v>
      </c>
      <c r="F234" s="255">
        <f>TCO!G17</f>
        <v>53.327896901058004</v>
      </c>
      <c r="G234" s="255">
        <f>TCO!H17</f>
        <v>0.35943002511312017</v>
      </c>
      <c r="H234" s="89">
        <f>TCO!I17</f>
        <v>6.7857358596941347E-3</v>
      </c>
      <c r="I234" s="398"/>
      <c r="J234" s="398"/>
      <c r="K234" s="53"/>
      <c r="L234" s="53"/>
      <c r="M234" s="53"/>
      <c r="N234" s="398"/>
      <c r="O234" s="398"/>
      <c r="P234" s="398"/>
      <c r="Q234" s="398"/>
      <c r="R234" s="398"/>
      <c r="S234" s="398"/>
    </row>
    <row r="235" spans="1:19" s="75" customFormat="1">
      <c r="A235" s="398"/>
      <c r="B235" s="53"/>
      <c r="C235" s="53"/>
      <c r="D235" s="696" t="str">
        <f>TCO!C18</f>
        <v>Ratio of PC Users to IT Personnel</v>
      </c>
      <c r="E235" s="255">
        <f>TCO!F18</f>
        <v>29.155887709687764</v>
      </c>
      <c r="F235" s="255">
        <f>TCO!G18</f>
        <v>29.353731862440611</v>
      </c>
      <c r="G235" s="255">
        <f>TCO!H18</f>
        <v>0.19784415275284672</v>
      </c>
      <c r="H235" s="89">
        <f>TCO!I18</f>
        <v>6.7857358596942361E-3</v>
      </c>
      <c r="I235" s="398"/>
      <c r="J235" s="398"/>
      <c r="K235" s="53"/>
      <c r="L235" s="53"/>
      <c r="M235" s="53"/>
      <c r="N235" s="398"/>
      <c r="O235" s="398"/>
      <c r="P235" s="398"/>
      <c r="Q235" s="398"/>
      <c r="R235" s="398"/>
      <c r="S235" s="398"/>
    </row>
    <row r="236" spans="1:19" s="75" customFormat="1">
      <c r="A236" s="398"/>
      <c r="B236" s="53"/>
      <c r="C236" s="53"/>
      <c r="D236" s="53"/>
      <c r="E236" s="53"/>
      <c r="F236" s="53"/>
      <c r="G236" s="53"/>
      <c r="H236" s="53"/>
      <c r="I236" s="53"/>
      <c r="J236" s="53"/>
      <c r="K236" s="53"/>
      <c r="L236" s="53"/>
      <c r="M236" s="53"/>
      <c r="N236" s="398"/>
      <c r="O236" s="398"/>
      <c r="P236" s="398"/>
      <c r="Q236" s="398"/>
      <c r="R236" s="398"/>
      <c r="S236" s="398"/>
    </row>
    <row r="237" spans="1:19" s="75" customFormat="1" ht="6.75" customHeight="1">
      <c r="A237" s="398"/>
      <c r="B237" s="398"/>
      <c r="C237" s="398"/>
      <c r="D237" s="398"/>
      <c r="E237" s="398"/>
      <c r="F237" s="398"/>
      <c r="G237" s="398"/>
      <c r="H237" s="398"/>
      <c r="I237" s="398"/>
      <c r="J237" s="398"/>
      <c r="K237" s="398"/>
      <c r="L237" s="398"/>
      <c r="M237" s="398"/>
      <c r="N237" s="398"/>
      <c r="O237" s="398"/>
      <c r="P237" s="398"/>
      <c r="Q237" s="398"/>
      <c r="R237" s="398"/>
      <c r="S237" s="398"/>
    </row>
    <row r="238" spans="1:19" ht="22.5">
      <c r="A238" s="27" t="s">
        <v>805</v>
      </c>
      <c r="B238" s="398"/>
      <c r="C238" s="398"/>
      <c r="D238" s="257"/>
      <c r="E238" s="602"/>
      <c r="F238" s="602"/>
      <c r="G238" s="602"/>
      <c r="H238" s="602"/>
      <c r="I238" s="602"/>
      <c r="J238" s="602"/>
      <c r="K238" s="398"/>
      <c r="L238" s="398"/>
      <c r="M238" s="398"/>
      <c r="N238" s="398"/>
      <c r="O238" s="398"/>
      <c r="P238" s="398"/>
      <c r="Q238" s="398"/>
      <c r="R238" s="398"/>
      <c r="S238" s="398"/>
    </row>
    <row r="239" spans="1:19" s="105" customFormat="1" ht="22.5" customHeight="1">
      <c r="A239" s="53"/>
      <c r="B239" s="703"/>
      <c r="C239" s="797" t="s">
        <v>806</v>
      </c>
      <c r="D239" s="797"/>
      <c r="E239" s="797"/>
      <c r="F239" s="797"/>
      <c r="G239" s="797"/>
      <c r="H239" s="797"/>
      <c r="I239" s="797"/>
      <c r="J239" s="797"/>
      <c r="K239" s="797"/>
      <c r="L239" s="797"/>
      <c r="M239" s="703"/>
      <c r="N239" s="398"/>
      <c r="O239" s="398"/>
      <c r="P239" s="398"/>
      <c r="Q239" s="398"/>
      <c r="R239" s="398"/>
      <c r="S239" s="398"/>
    </row>
    <row r="240" spans="1:19" ht="15">
      <c r="A240" s="398"/>
      <c r="B240" s="672" t="s">
        <v>807</v>
      </c>
      <c r="C240" s="672"/>
      <c r="D240" s="53"/>
      <c r="E240" s="595"/>
      <c r="F240" s="595"/>
      <c r="G240" s="595"/>
      <c r="H240" s="595"/>
      <c r="I240" s="595"/>
      <c r="J240" s="595"/>
      <c r="K240" s="53"/>
      <c r="L240" s="53"/>
      <c r="M240" s="53"/>
      <c r="N240" s="398"/>
      <c r="O240" s="398"/>
      <c r="P240" s="398"/>
      <c r="Q240" s="398"/>
      <c r="R240" s="398"/>
      <c r="S240" s="398"/>
    </row>
    <row r="241" spans="1:19" s="32" customFormat="1" ht="12.75" customHeight="1">
      <c r="A241" s="398"/>
      <c r="B241" s="53"/>
      <c r="C241" s="53"/>
      <c r="D241" s="53"/>
      <c r="E241" s="680" t="str">
        <f>$E$75</f>
        <v>Benefits (per User)</v>
      </c>
      <c r="F241" s="690"/>
      <c r="G241" s="679"/>
      <c r="H241" s="835" t="str">
        <f>$H$75</f>
        <v>Benefits (000)</v>
      </c>
      <c r="I241" s="835"/>
      <c r="J241" s="835"/>
      <c r="K241" s="53"/>
      <c r="L241" s="53"/>
      <c r="M241" s="53"/>
      <c r="N241" s="398"/>
      <c r="O241" s="398"/>
      <c r="P241" s="398"/>
      <c r="Q241" s="398"/>
      <c r="R241" s="398"/>
      <c r="S241" s="398"/>
    </row>
    <row r="242" spans="1:19" s="32" customFormat="1" ht="25.5">
      <c r="A242" s="398"/>
      <c r="B242" s="53"/>
      <c r="C242" s="53"/>
      <c r="D242" s="53"/>
      <c r="E242" s="686" t="str">
        <f>$E$20</f>
        <v>One-Time</v>
      </c>
      <c r="F242" s="671" t="str">
        <f>$F$20</f>
        <v>Annual Recurring</v>
      </c>
      <c r="G242" s="671" t="str">
        <f>$G$20</f>
        <v>Project Total</v>
      </c>
      <c r="H242" s="671" t="str">
        <f>$E$20</f>
        <v>One-Time</v>
      </c>
      <c r="I242" s="671" t="str">
        <f>$F$20</f>
        <v>Annual Recurring</v>
      </c>
      <c r="J242" s="671" t="str">
        <f>$G$20</f>
        <v>Project Total</v>
      </c>
      <c r="K242" s="53"/>
      <c r="L242" s="53"/>
      <c r="M242" s="53"/>
      <c r="N242" s="398"/>
      <c r="O242" s="398"/>
      <c r="P242" s="398"/>
      <c r="Q242" s="398"/>
      <c r="R242" s="398"/>
      <c r="S242" s="398"/>
    </row>
    <row r="243" spans="1:19">
      <c r="A243" s="398"/>
      <c r="B243" s="53"/>
      <c r="C243" s="53"/>
      <c r="D243" s="248" t="str">
        <f>TCO!C22</f>
        <v>Hardware</v>
      </c>
      <c r="E243" s="539">
        <f>0</f>
        <v>0</v>
      </c>
      <c r="F243" s="573">
        <f>TCO!J22</f>
        <v>17.872096949778477</v>
      </c>
      <c r="G243" s="539">
        <f>E243+F243*ProjectTtlMultBen</f>
        <v>89.360484748892389</v>
      </c>
      <c r="H243" s="539">
        <f t="shared" ref="H243:I247" si="37">E243*PCUsers/1000</f>
        <v>0</v>
      </c>
      <c r="I243" s="539">
        <f t="shared" si="37"/>
        <v>49.187458363179147</v>
      </c>
      <c r="J243" s="539">
        <f>H243+I243*ProjectTtlMultBen</f>
        <v>245.93729181589572</v>
      </c>
      <c r="K243" s="53"/>
      <c r="L243" s="53"/>
      <c r="M243" s="53"/>
      <c r="N243" s="398"/>
      <c r="O243" s="398"/>
      <c r="P243" s="398"/>
      <c r="Q243" s="398"/>
      <c r="R243" s="398"/>
      <c r="S243" s="398"/>
    </row>
    <row r="244" spans="1:19">
      <c r="A244" s="398"/>
      <c r="B244" s="53"/>
      <c r="C244" s="53"/>
      <c r="D244" s="248" t="str">
        <f>TCO!C23</f>
        <v>Software</v>
      </c>
      <c r="E244" s="539">
        <f>0</f>
        <v>0</v>
      </c>
      <c r="F244" s="573">
        <f>TCO!J23</f>
        <v>17.092517698213481</v>
      </c>
      <c r="G244" s="539">
        <f>E244+F244*ProjectTtlMultBen</f>
        <v>85.462588491067407</v>
      </c>
      <c r="H244" s="539">
        <f t="shared" si="37"/>
        <v>0</v>
      </c>
      <c r="I244" s="539">
        <f t="shared" si="37"/>
        <v>47.041905880730972</v>
      </c>
      <c r="J244" s="539">
        <f>H244+I244*ProjectTtlMultBen</f>
        <v>235.20952940365487</v>
      </c>
      <c r="K244" s="53"/>
      <c r="L244" s="53"/>
      <c r="M244" s="53"/>
      <c r="N244" s="398"/>
      <c r="O244" s="398"/>
      <c r="P244" s="398"/>
      <c r="Q244" s="398"/>
      <c r="R244" s="398"/>
      <c r="S244" s="398"/>
    </row>
    <row r="245" spans="1:19">
      <c r="A245" s="398"/>
      <c r="B245" s="53"/>
      <c r="C245" s="53"/>
      <c r="D245" s="248" t="str">
        <f>TCO!C24</f>
        <v>Internal IT Staff</v>
      </c>
      <c r="E245" s="539">
        <f>0</f>
        <v>0</v>
      </c>
      <c r="F245" s="573">
        <f>TCO!J24</f>
        <v>27.051671280901736</v>
      </c>
      <c r="G245" s="539">
        <f>E245+F245*ProjectTtlMultBen</f>
        <v>135.25835640450867</v>
      </c>
      <c r="H245" s="539">
        <f t="shared" si="37"/>
        <v>0</v>
      </c>
      <c r="I245" s="539">
        <f t="shared" si="37"/>
        <v>74.451417677669653</v>
      </c>
      <c r="J245" s="539">
        <f>H245+I245*ProjectTtlMultBen</f>
        <v>372.25708838834828</v>
      </c>
      <c r="K245" s="53"/>
      <c r="L245" s="53"/>
      <c r="M245" s="53"/>
      <c r="N245" s="398"/>
      <c r="O245" s="398"/>
      <c r="P245" s="398"/>
      <c r="Q245" s="398"/>
      <c r="R245" s="398"/>
      <c r="S245" s="398"/>
    </row>
    <row r="246" spans="1:19">
      <c r="A246" s="398"/>
      <c r="B246" s="53"/>
      <c r="C246" s="53"/>
      <c r="D246" s="248" t="str">
        <f>TCO!C25</f>
        <v>External IT Services</v>
      </c>
      <c r="E246" s="539">
        <f>0</f>
        <v>0</v>
      </c>
      <c r="F246" s="573">
        <f>TCO!J25</f>
        <v>27.121109294331262</v>
      </c>
      <c r="G246" s="539">
        <f>E246+F246*ProjectTtlMultBen</f>
        <v>135.60554647165631</v>
      </c>
      <c r="H246" s="539">
        <f t="shared" si="37"/>
        <v>0</v>
      </c>
      <c r="I246" s="539">
        <f t="shared" si="37"/>
        <v>74.642524485336622</v>
      </c>
      <c r="J246" s="539">
        <f>H246+I246*ProjectTtlMultBen</f>
        <v>373.21262242668308</v>
      </c>
      <c r="K246" s="53"/>
      <c r="L246" s="53"/>
      <c r="M246" s="53"/>
      <c r="N246" s="398"/>
      <c r="O246" s="398"/>
      <c r="P246" s="398"/>
      <c r="Q246" s="398"/>
      <c r="R246" s="398"/>
      <c r="S246" s="398"/>
    </row>
    <row r="247" spans="1:19" ht="13.5" thickBot="1">
      <c r="A247" s="398"/>
      <c r="B247" s="53"/>
      <c r="C247" s="53"/>
      <c r="D247" s="249" t="str">
        <f>TCO!C26</f>
        <v>Telecom / Networking</v>
      </c>
      <c r="E247" s="539">
        <f>0</f>
        <v>0</v>
      </c>
      <c r="F247" s="573">
        <f>TCO!J26</f>
        <v>7.5596544021053962</v>
      </c>
      <c r="G247" s="539">
        <f>E247+F247*ProjectTtlMultBen</f>
        <v>37.798272010526979</v>
      </c>
      <c r="H247" s="539">
        <f t="shared" si="37"/>
        <v>0</v>
      </c>
      <c r="I247" s="539">
        <f t="shared" si="37"/>
        <v>20.805627184570078</v>
      </c>
      <c r="J247" s="539">
        <f>H247+I247*ProjectTtlMultBen</f>
        <v>104.0281359228504</v>
      </c>
      <c r="K247" s="53"/>
      <c r="L247" s="53"/>
      <c r="M247" s="53"/>
      <c r="N247" s="398"/>
      <c r="O247" s="398"/>
      <c r="P247" s="398"/>
      <c r="Q247" s="398"/>
      <c r="R247" s="398"/>
      <c r="S247" s="398"/>
    </row>
    <row r="248" spans="1:19" ht="13.5" thickTop="1">
      <c r="A248" s="398"/>
      <c r="B248" s="53"/>
      <c r="C248" s="53"/>
      <c r="D248" s="38" t="s">
        <v>259</v>
      </c>
      <c r="E248" s="550">
        <f t="shared" ref="E248:J248" si="38">SUM(E243:E247)</f>
        <v>0</v>
      </c>
      <c r="F248" s="550">
        <f t="shared" si="38"/>
        <v>96.697049625330351</v>
      </c>
      <c r="G248" s="550">
        <f t="shared" si="38"/>
        <v>483.48524812665181</v>
      </c>
      <c r="H248" s="550">
        <f t="shared" si="38"/>
        <v>0</v>
      </c>
      <c r="I248" s="550">
        <f t="shared" si="38"/>
        <v>266.12893359148643</v>
      </c>
      <c r="J248" s="550">
        <f t="shared" si="38"/>
        <v>1330.6446679574324</v>
      </c>
      <c r="K248" s="53"/>
      <c r="L248" s="53"/>
      <c r="M248" s="53"/>
      <c r="N248" s="398"/>
      <c r="O248" s="398"/>
      <c r="P248" s="398"/>
      <c r="Q248" s="398"/>
      <c r="R248" s="398"/>
      <c r="S248" s="398"/>
    </row>
    <row r="249" spans="1:19" s="32" customFormat="1">
      <c r="A249" s="398"/>
      <c r="B249" s="53"/>
      <c r="C249" s="53"/>
      <c r="D249" s="53"/>
      <c r="E249" s="53"/>
      <c r="F249" s="53"/>
      <c r="G249" s="53"/>
      <c r="H249" s="53"/>
      <c r="I249" s="53"/>
      <c r="J249" s="53"/>
      <c r="K249" s="53"/>
      <c r="L249" s="53"/>
      <c r="M249" s="53"/>
      <c r="N249" s="398"/>
      <c r="O249" s="398"/>
      <c r="P249" s="398"/>
      <c r="Q249" s="398"/>
      <c r="R249" s="398"/>
      <c r="S249" s="398"/>
    </row>
    <row r="250" spans="1:19" ht="15">
      <c r="A250" s="398"/>
      <c r="B250" s="672" t="s">
        <v>808</v>
      </c>
      <c r="C250" s="672"/>
      <c r="D250" s="53"/>
      <c r="E250" s="595"/>
      <c r="F250" s="595"/>
      <c r="G250" s="595"/>
      <c r="H250" s="595"/>
      <c r="I250" s="595"/>
      <c r="J250" s="595"/>
      <c r="K250" s="53"/>
      <c r="L250" s="53"/>
      <c r="M250" s="53"/>
      <c r="N250" s="398"/>
      <c r="O250" s="398"/>
      <c r="P250" s="398"/>
      <c r="Q250" s="398"/>
      <c r="R250" s="398"/>
      <c r="S250" s="398"/>
    </row>
    <row r="251" spans="1:19" s="32" customFormat="1" ht="12.75" customHeight="1">
      <c r="A251" s="398"/>
      <c r="B251" s="53"/>
      <c r="C251" s="53"/>
      <c r="D251" s="53"/>
      <c r="E251" s="680" t="str">
        <f>$E$75</f>
        <v>Benefits (per User)</v>
      </c>
      <c r="F251" s="690"/>
      <c r="G251" s="679"/>
      <c r="H251" s="835" t="str">
        <f>$H$75</f>
        <v>Benefits (000)</v>
      </c>
      <c r="I251" s="835"/>
      <c r="J251" s="835"/>
      <c r="K251" s="53"/>
      <c r="L251" s="53"/>
      <c r="M251" s="53"/>
      <c r="N251" s="398"/>
      <c r="O251" s="398"/>
      <c r="P251" s="398"/>
      <c r="Q251" s="398"/>
      <c r="R251" s="398"/>
      <c r="S251" s="398"/>
    </row>
    <row r="252" spans="1:19" s="32" customFormat="1" ht="25.5">
      <c r="A252" s="398"/>
      <c r="B252" s="53"/>
      <c r="C252" s="53"/>
      <c r="D252" s="53"/>
      <c r="E252" s="671" t="str">
        <f>$E$20</f>
        <v>One-Time</v>
      </c>
      <c r="F252" s="671" t="str">
        <f>$F$20</f>
        <v>Annual Recurring</v>
      </c>
      <c r="G252" s="671" t="str">
        <f>$G$20</f>
        <v>Project Total</v>
      </c>
      <c r="H252" s="671" t="str">
        <f>$E$20</f>
        <v>One-Time</v>
      </c>
      <c r="I252" s="671" t="str">
        <f>$F$20</f>
        <v>Annual Recurring</v>
      </c>
      <c r="J252" s="671" t="str">
        <f>$G$20</f>
        <v>Project Total</v>
      </c>
      <c r="K252" s="53"/>
      <c r="L252" s="53"/>
      <c r="M252" s="53"/>
      <c r="N252" s="398"/>
      <c r="O252" s="398"/>
      <c r="P252" s="398"/>
      <c r="Q252" s="398"/>
      <c r="R252" s="398"/>
      <c r="S252" s="398"/>
    </row>
    <row r="253" spans="1:19" ht="15">
      <c r="A253" s="398"/>
      <c r="B253" s="672"/>
      <c r="C253" s="706" t="str">
        <f>'Direct Savings'!C6</f>
        <v>IT Savings</v>
      </c>
      <c r="D253" s="53"/>
      <c r="E253" s="595"/>
      <c r="F253" s="595"/>
      <c r="G253" s="595"/>
      <c r="H253" s="595"/>
      <c r="I253" s="595"/>
      <c r="J253" s="595"/>
      <c r="K253" s="53"/>
      <c r="L253" s="53"/>
      <c r="M253" s="53"/>
      <c r="N253" s="398"/>
      <c r="O253" s="398"/>
      <c r="P253" s="398"/>
      <c r="Q253" s="398"/>
      <c r="R253" s="398"/>
      <c r="S253" s="398"/>
    </row>
    <row r="254" spans="1:19">
      <c r="A254" s="398"/>
      <c r="B254" s="53"/>
      <c r="C254" s="53"/>
      <c r="D254" s="696" t="str">
        <f>'Direct Savings'!D7</f>
        <v>Software - Clients</v>
      </c>
      <c r="E254" s="539">
        <f>'Direct Savings'!H7</f>
        <v>1.7849999999999999</v>
      </c>
      <c r="F254" s="539">
        <f>'Direct Savings'!I7</f>
        <v>1.2197499999999999</v>
      </c>
      <c r="G254" s="539">
        <f t="shared" ref="G254:G259" si="39">E254+F254*ProjectTtlMultBen</f>
        <v>7.8837499999999991</v>
      </c>
      <c r="H254" s="539">
        <f t="shared" ref="H254:I259" si="40">E254*PCUsers/1000</f>
        <v>4.912664329485021</v>
      </c>
      <c r="I254" s="539">
        <f t="shared" si="40"/>
        <v>3.3569872918147641</v>
      </c>
      <c r="J254" s="539">
        <f t="shared" ref="J254:J259" si="41">H254+I254*ProjectTtlMultBen</f>
        <v>21.697600788558841</v>
      </c>
      <c r="K254" s="53"/>
      <c r="L254" s="53"/>
      <c r="M254" s="53"/>
      <c r="N254" s="398"/>
      <c r="O254" s="398"/>
      <c r="P254" s="398"/>
      <c r="Q254" s="398"/>
      <c r="R254" s="398"/>
      <c r="S254" s="398"/>
    </row>
    <row r="255" spans="1:19">
      <c r="A255" s="398"/>
      <c r="B255" s="53"/>
      <c r="C255" s="53"/>
      <c r="D255" s="696" t="str">
        <f>'Direct Savings'!D8</f>
        <v>Software - Servers</v>
      </c>
      <c r="E255" s="539">
        <f>'Direct Savings'!H8</f>
        <v>2.9850000000000003</v>
      </c>
      <c r="F255" s="539">
        <f>'Direct Savings'!I8</f>
        <v>0.44775000000000004</v>
      </c>
      <c r="G255" s="539">
        <f t="shared" si="39"/>
        <v>5.2237500000000008</v>
      </c>
      <c r="H255" s="539">
        <f t="shared" si="40"/>
        <v>8.2152958114917585</v>
      </c>
      <c r="I255" s="539">
        <f t="shared" si="40"/>
        <v>1.2322943717237638</v>
      </c>
      <c r="J255" s="539">
        <f t="shared" si="41"/>
        <v>14.376767670110578</v>
      </c>
      <c r="K255" s="53"/>
      <c r="L255" s="53"/>
      <c r="M255" s="53"/>
      <c r="N255" s="398"/>
      <c r="O255" s="398"/>
      <c r="P255" s="398"/>
      <c r="Q255" s="398"/>
      <c r="R255" s="398"/>
      <c r="S255" s="398"/>
    </row>
    <row r="256" spans="1:19">
      <c r="A256" s="398"/>
      <c r="B256" s="53"/>
      <c r="C256" s="53"/>
      <c r="D256" s="696" t="str">
        <f>'Direct Savings'!D9</f>
        <v>Hardware</v>
      </c>
      <c r="E256" s="539">
        <f>'Direct Savings'!H9</f>
        <v>2.7</v>
      </c>
      <c r="F256" s="539">
        <f>'Direct Savings'!I9</f>
        <v>0.40499999999999997</v>
      </c>
      <c r="G256" s="539">
        <f t="shared" si="39"/>
        <v>4.7249999999999996</v>
      </c>
      <c r="H256" s="539">
        <f t="shared" si="40"/>
        <v>7.4309208345151578</v>
      </c>
      <c r="I256" s="539">
        <f t="shared" si="40"/>
        <v>1.1146381251772737</v>
      </c>
      <c r="J256" s="539">
        <f t="shared" si="41"/>
        <v>13.004111460401527</v>
      </c>
      <c r="K256" s="53"/>
      <c r="L256" s="53"/>
      <c r="M256" s="53"/>
      <c r="N256" s="398"/>
      <c r="O256" s="398"/>
      <c r="P256" s="398"/>
      <c r="Q256" s="398"/>
      <c r="R256" s="398"/>
      <c r="S256" s="398"/>
    </row>
    <row r="257" spans="1:19">
      <c r="A257" s="398"/>
      <c r="B257" s="53"/>
      <c r="C257" s="53"/>
      <c r="D257" s="696" t="str">
        <f>'Direct Savings'!D10</f>
        <v>IT Services</v>
      </c>
      <c r="E257" s="539">
        <f>'Direct Savings'!H10</f>
        <v>0</v>
      </c>
      <c r="F257" s="539">
        <f>'Direct Savings'!I10</f>
        <v>0.6</v>
      </c>
      <c r="G257" s="539">
        <f t="shared" si="39"/>
        <v>3</v>
      </c>
      <c r="H257" s="539">
        <f t="shared" si="40"/>
        <v>0</v>
      </c>
      <c r="I257" s="539">
        <f t="shared" si="40"/>
        <v>1.6513157410033685</v>
      </c>
      <c r="J257" s="539">
        <f t="shared" si="41"/>
        <v>8.2565787050168424</v>
      </c>
      <c r="K257" s="53"/>
      <c r="L257" s="53"/>
      <c r="M257" s="53"/>
      <c r="N257" s="398"/>
      <c r="O257" s="398"/>
      <c r="P257" s="398"/>
      <c r="Q257" s="398"/>
      <c r="R257" s="398"/>
      <c r="S257" s="398"/>
    </row>
    <row r="258" spans="1:19">
      <c r="A258" s="398"/>
      <c r="B258" s="53"/>
      <c r="C258" s="53"/>
      <c r="D258" s="696" t="str">
        <f>'Direct Savings'!D11</f>
        <v>Power/Electricity Usage</v>
      </c>
      <c r="E258" s="539">
        <f>'Direct Savings'!H11</f>
        <v>0</v>
      </c>
      <c r="F258" s="539">
        <f>'Direct Savings'!I11</f>
        <v>1.5884617500000002</v>
      </c>
      <c r="G258" s="539">
        <f t="shared" si="39"/>
        <v>7.9423087500000014</v>
      </c>
      <c r="H258" s="539">
        <f t="shared" si="40"/>
        <v>0</v>
      </c>
      <c r="I258" s="539">
        <f t="shared" si="40"/>
        <v>4.3717531529279299</v>
      </c>
      <c r="J258" s="539">
        <f t="shared" si="41"/>
        <v>21.858765764639649</v>
      </c>
      <c r="K258" s="53"/>
      <c r="L258" s="53"/>
      <c r="M258" s="53"/>
      <c r="N258" s="398"/>
      <c r="O258" s="398"/>
      <c r="P258" s="398"/>
      <c r="Q258" s="398"/>
      <c r="R258" s="398"/>
      <c r="S258" s="398"/>
    </row>
    <row r="259" spans="1:19" ht="13.5" thickBot="1">
      <c r="A259" s="398"/>
      <c r="B259" s="53"/>
      <c r="C259" s="53"/>
      <c r="D259" s="696" t="str">
        <f>'Direct Savings'!D12</f>
        <v>Other IT Costs</v>
      </c>
      <c r="E259" s="539">
        <f>'Direct Savings'!H12</f>
        <v>0</v>
      </c>
      <c r="F259" s="539">
        <f>'Direct Savings'!I12</f>
        <v>0.97499999999999998</v>
      </c>
      <c r="G259" s="539">
        <f t="shared" si="39"/>
        <v>4.875</v>
      </c>
      <c r="H259" s="539">
        <f t="shared" si="40"/>
        <v>0</v>
      </c>
      <c r="I259" s="539">
        <f t="shared" si="40"/>
        <v>2.6833880791304736</v>
      </c>
      <c r="J259" s="539">
        <f t="shared" si="41"/>
        <v>13.416940395652368</v>
      </c>
      <c r="K259" s="53"/>
      <c r="L259" s="53"/>
      <c r="M259" s="53"/>
      <c r="N259" s="398"/>
      <c r="O259" s="398"/>
      <c r="P259" s="398"/>
      <c r="Q259" s="398"/>
      <c r="R259" s="398"/>
      <c r="S259" s="398"/>
    </row>
    <row r="260" spans="1:19" ht="13.5" thickTop="1">
      <c r="A260" s="398"/>
      <c r="B260" s="53"/>
      <c r="C260" s="53"/>
      <c r="D260" s="38" t="str">
        <f>'Direct Savings'!D13</f>
        <v>Total</v>
      </c>
      <c r="E260" s="550">
        <f t="shared" ref="E260:J260" si="42">SUM(E254:E259)</f>
        <v>7.4700000000000006</v>
      </c>
      <c r="F260" s="550">
        <f t="shared" si="42"/>
        <v>5.2359617499999995</v>
      </c>
      <c r="G260" s="550">
        <f t="shared" si="42"/>
        <v>33.649808750000005</v>
      </c>
      <c r="H260" s="550">
        <f t="shared" si="42"/>
        <v>20.558880975491938</v>
      </c>
      <c r="I260" s="550">
        <f t="shared" si="42"/>
        <v>14.410376761777574</v>
      </c>
      <c r="J260" s="550">
        <f t="shared" si="42"/>
        <v>92.610764784379796</v>
      </c>
      <c r="K260" s="53"/>
      <c r="L260" s="53"/>
      <c r="M260" s="53"/>
      <c r="N260" s="398"/>
      <c r="O260" s="398"/>
      <c r="P260" s="398"/>
      <c r="Q260" s="398"/>
      <c r="R260" s="398"/>
      <c r="S260" s="398"/>
    </row>
    <row r="261" spans="1:19" ht="15">
      <c r="A261" s="398"/>
      <c r="B261" s="672"/>
      <c r="C261" s="706" t="str">
        <f>'Direct Savings'!C15</f>
        <v>Business Savings</v>
      </c>
      <c r="D261" s="53"/>
      <c r="E261" s="595"/>
      <c r="F261" s="595"/>
      <c r="G261" s="595"/>
      <c r="H261" s="595"/>
      <c r="I261" s="595"/>
      <c r="J261" s="595"/>
      <c r="K261" s="53"/>
      <c r="L261" s="53"/>
      <c r="M261" s="53"/>
      <c r="N261" s="398"/>
      <c r="O261" s="398"/>
      <c r="P261" s="398"/>
      <c r="Q261" s="398"/>
      <c r="R261" s="398"/>
      <c r="S261" s="398"/>
    </row>
    <row r="262" spans="1:19">
      <c r="A262" s="398"/>
      <c r="B262" s="53"/>
      <c r="C262" s="53"/>
      <c r="D262" s="696" t="str">
        <f>'Direct Savings'!D16</f>
        <v>Travel Expenses</v>
      </c>
      <c r="E262" s="539">
        <f>'Direct Savings'!H16</f>
        <v>0</v>
      </c>
      <c r="F262" s="539">
        <f>'Direct Savings'!I16</f>
        <v>0</v>
      </c>
      <c r="G262" s="539">
        <f>E262+F262*ProjectTtlMultBen</f>
        <v>0</v>
      </c>
      <c r="H262" s="539">
        <f t="shared" ref="H262:I264" si="43">E262*PCUsers/1000</f>
        <v>0</v>
      </c>
      <c r="I262" s="539">
        <f t="shared" si="43"/>
        <v>0</v>
      </c>
      <c r="J262" s="539">
        <f>H262+I262*ProjectTtlMultBen</f>
        <v>0</v>
      </c>
      <c r="K262" s="53"/>
      <c r="L262" s="53"/>
      <c r="M262" s="53"/>
      <c r="N262" s="398"/>
      <c r="O262" s="398"/>
      <c r="P262" s="398"/>
      <c r="Q262" s="398"/>
      <c r="R262" s="398"/>
      <c r="S262" s="398"/>
    </row>
    <row r="263" spans="1:19">
      <c r="A263" s="398"/>
      <c r="B263" s="53"/>
      <c r="C263" s="53"/>
      <c r="D263" s="696" t="str">
        <f>'Direct Savings'!D17</f>
        <v>Business Services</v>
      </c>
      <c r="E263" s="539">
        <f>'Direct Savings'!H17</f>
        <v>0</v>
      </c>
      <c r="F263" s="539">
        <f>'Direct Savings'!I17</f>
        <v>0</v>
      </c>
      <c r="G263" s="539">
        <f>E263+F263*ProjectTtlMultBen</f>
        <v>0</v>
      </c>
      <c r="H263" s="539">
        <f t="shared" si="43"/>
        <v>0</v>
      </c>
      <c r="I263" s="539">
        <f t="shared" si="43"/>
        <v>0</v>
      </c>
      <c r="J263" s="539">
        <f>H263+I263*ProjectTtlMultBen</f>
        <v>0</v>
      </c>
      <c r="K263" s="53"/>
      <c r="L263" s="53"/>
      <c r="M263" s="53"/>
      <c r="N263" s="398"/>
      <c r="O263" s="398"/>
      <c r="P263" s="398"/>
      <c r="Q263" s="398"/>
      <c r="R263" s="398"/>
      <c r="S263" s="398"/>
    </row>
    <row r="264" spans="1:19" ht="13.5" thickBot="1">
      <c r="A264" s="398"/>
      <c r="B264" s="53"/>
      <c r="C264" s="53"/>
      <c r="D264" s="696" t="str">
        <f>'Direct Savings'!D18</f>
        <v>Other Business Expenses</v>
      </c>
      <c r="E264" s="539">
        <f>'Direct Savings'!H18</f>
        <v>0</v>
      </c>
      <c r="F264" s="539">
        <f>'Direct Savings'!I18</f>
        <v>0</v>
      </c>
      <c r="G264" s="539">
        <f>E264+F264*ProjectTtlMultBen</f>
        <v>0</v>
      </c>
      <c r="H264" s="539">
        <f t="shared" si="43"/>
        <v>0</v>
      </c>
      <c r="I264" s="539">
        <f t="shared" si="43"/>
        <v>0</v>
      </c>
      <c r="J264" s="539">
        <f>H264+I264*ProjectTtlMultBen</f>
        <v>0</v>
      </c>
      <c r="K264" s="53"/>
      <c r="L264" s="53"/>
      <c r="M264" s="53"/>
      <c r="N264" s="398"/>
      <c r="O264" s="398"/>
      <c r="P264" s="398"/>
      <c r="Q264" s="398"/>
      <c r="R264" s="398"/>
      <c r="S264" s="398"/>
    </row>
    <row r="265" spans="1:19" ht="13.5" thickTop="1">
      <c r="A265" s="398"/>
      <c r="B265" s="53"/>
      <c r="C265" s="53"/>
      <c r="D265" s="38" t="str">
        <f>'Direct Savings'!D19</f>
        <v>Total</v>
      </c>
      <c r="E265" s="550">
        <f t="shared" ref="E265:J265" si="44">SUM(E262:E264)</f>
        <v>0</v>
      </c>
      <c r="F265" s="550">
        <f t="shared" si="44"/>
        <v>0</v>
      </c>
      <c r="G265" s="550">
        <f t="shared" si="44"/>
        <v>0</v>
      </c>
      <c r="H265" s="550">
        <f t="shared" si="44"/>
        <v>0</v>
      </c>
      <c r="I265" s="550">
        <f t="shared" si="44"/>
        <v>0</v>
      </c>
      <c r="J265" s="550">
        <f t="shared" si="44"/>
        <v>0</v>
      </c>
      <c r="K265" s="53"/>
      <c r="L265" s="53"/>
      <c r="M265" s="53"/>
      <c r="N265" s="398"/>
      <c r="O265" s="398"/>
      <c r="P265" s="398"/>
      <c r="Q265" s="398"/>
      <c r="R265" s="398"/>
      <c r="S265" s="398"/>
    </row>
    <row r="266" spans="1:19" ht="13.5" thickBot="1">
      <c r="A266" s="398"/>
      <c r="B266" s="53"/>
      <c r="C266" s="53"/>
      <c r="D266" s="53"/>
      <c r="E266" s="595"/>
      <c r="F266" s="595"/>
      <c r="G266" s="595"/>
      <c r="H266" s="595"/>
      <c r="I266" s="595"/>
      <c r="J266" s="595"/>
      <c r="K266" s="53"/>
      <c r="L266" s="53"/>
      <c r="M266" s="53"/>
      <c r="N266" s="398"/>
      <c r="O266" s="398"/>
      <c r="P266" s="398"/>
      <c r="Q266" s="398"/>
      <c r="R266" s="398"/>
      <c r="S266" s="398"/>
    </row>
    <row r="267" spans="1:19" ht="13.5" thickTop="1">
      <c r="A267" s="398"/>
      <c r="B267" s="53"/>
      <c r="C267" s="46"/>
      <c r="D267" s="39" t="str">
        <f>"Total "&amp;B250</f>
        <v>Total Other Direct Cost Savings</v>
      </c>
      <c r="E267" s="550">
        <f t="shared" ref="E267:J267" si="45">E260+E265</f>
        <v>7.4700000000000006</v>
      </c>
      <c r="F267" s="550">
        <f t="shared" si="45"/>
        <v>5.2359617499999995</v>
      </c>
      <c r="G267" s="550">
        <f t="shared" si="45"/>
        <v>33.649808750000005</v>
      </c>
      <c r="H267" s="550">
        <f t="shared" si="45"/>
        <v>20.558880975491938</v>
      </c>
      <c r="I267" s="550">
        <f t="shared" si="45"/>
        <v>14.410376761777574</v>
      </c>
      <c r="J267" s="550">
        <f t="shared" si="45"/>
        <v>92.610764784379796</v>
      </c>
      <c r="K267" s="53"/>
      <c r="L267" s="53"/>
      <c r="M267" s="53"/>
      <c r="N267" s="398"/>
      <c r="O267" s="398"/>
      <c r="P267" s="398"/>
      <c r="Q267" s="398"/>
      <c r="R267" s="398"/>
      <c r="S267" s="398"/>
    </row>
    <row r="268" spans="1:19">
      <c r="A268" s="398"/>
      <c r="B268" s="53"/>
      <c r="C268" s="53"/>
      <c r="D268" s="53"/>
      <c r="E268" s="595"/>
      <c r="F268" s="595"/>
      <c r="G268" s="595"/>
      <c r="H268" s="595"/>
      <c r="I268" s="595"/>
      <c r="J268" s="595"/>
      <c r="K268" s="53"/>
      <c r="L268" s="53"/>
      <c r="M268" s="53"/>
      <c r="N268" s="398"/>
      <c r="O268" s="398"/>
      <c r="P268" s="398"/>
      <c r="Q268" s="398"/>
      <c r="R268" s="398"/>
      <c r="S268" s="398"/>
    </row>
    <row r="269" spans="1:19" s="32" customFormat="1">
      <c r="A269" s="398"/>
      <c r="B269" s="53"/>
      <c r="C269" s="53"/>
      <c r="D269" s="53"/>
      <c r="E269" s="595"/>
      <c r="F269" s="595"/>
      <c r="G269" s="595"/>
      <c r="H269" s="595"/>
      <c r="I269" s="595"/>
      <c r="J269" s="595"/>
      <c r="K269" s="53"/>
      <c r="L269" s="53"/>
      <c r="M269" s="53"/>
      <c r="N269" s="398"/>
      <c r="O269" s="398"/>
      <c r="P269" s="398"/>
      <c r="Q269" s="398"/>
      <c r="R269" s="398"/>
      <c r="S269" s="398"/>
    </row>
    <row r="270" spans="1:19" s="32" customFormat="1">
      <c r="A270" s="398"/>
      <c r="B270" s="53"/>
      <c r="C270" s="53"/>
      <c r="D270" s="53"/>
      <c r="E270" s="595"/>
      <c r="F270" s="595"/>
      <c r="G270" s="595"/>
      <c r="H270" s="595"/>
      <c r="I270" s="595"/>
      <c r="J270" s="595"/>
      <c r="K270" s="53"/>
      <c r="L270" s="53"/>
      <c r="M270" s="53"/>
      <c r="N270" s="398"/>
      <c r="O270" s="398"/>
      <c r="P270" s="398"/>
      <c r="Q270" s="398"/>
      <c r="R270" s="398"/>
      <c r="S270" s="398"/>
    </row>
    <row r="271" spans="1:19" s="32" customFormat="1">
      <c r="A271" s="398"/>
      <c r="B271" s="53"/>
      <c r="C271" s="53"/>
      <c r="D271" s="53"/>
      <c r="E271" s="595"/>
      <c r="F271" s="595"/>
      <c r="G271" s="595"/>
      <c r="H271" s="595"/>
      <c r="I271" s="595"/>
      <c r="J271" s="595"/>
      <c r="K271" s="53"/>
      <c r="L271" s="53"/>
      <c r="M271" s="53"/>
      <c r="N271" s="398"/>
      <c r="O271" s="398"/>
      <c r="P271" s="398"/>
      <c r="Q271" s="398"/>
      <c r="R271" s="398"/>
      <c r="S271" s="398"/>
    </row>
    <row r="272" spans="1:19" s="32" customFormat="1">
      <c r="A272" s="398"/>
      <c r="B272" s="53"/>
      <c r="C272" s="53"/>
      <c r="D272" s="53"/>
      <c r="E272" s="595"/>
      <c r="F272" s="595"/>
      <c r="G272" s="595"/>
      <c r="H272" s="595"/>
      <c r="I272" s="595"/>
      <c r="J272" s="595"/>
      <c r="K272" s="53"/>
      <c r="L272" s="53"/>
      <c r="M272" s="53"/>
      <c r="N272" s="398"/>
      <c r="O272" s="398"/>
      <c r="P272" s="398"/>
      <c r="Q272" s="398"/>
      <c r="R272" s="398"/>
      <c r="S272" s="398"/>
    </row>
    <row r="273" spans="1:19" s="32" customFormat="1">
      <c r="A273" s="398"/>
      <c r="B273" s="53"/>
      <c r="C273" s="53"/>
      <c r="D273" s="53"/>
      <c r="E273" s="595"/>
      <c r="F273" s="595"/>
      <c r="G273" s="595"/>
      <c r="H273" s="595"/>
      <c r="I273" s="595"/>
      <c r="J273" s="595"/>
      <c r="K273" s="53"/>
      <c r="L273" s="53"/>
      <c r="M273" s="53"/>
      <c r="N273" s="398"/>
      <c r="O273" s="398"/>
      <c r="P273" s="398"/>
      <c r="Q273" s="398"/>
      <c r="R273" s="398"/>
      <c r="S273" s="398"/>
    </row>
    <row r="274" spans="1:19" s="32" customFormat="1">
      <c r="A274" s="398"/>
      <c r="B274" s="53"/>
      <c r="C274" s="53"/>
      <c r="D274" s="53"/>
      <c r="E274" s="595"/>
      <c r="F274" s="595"/>
      <c r="G274" s="595"/>
      <c r="H274" s="595"/>
      <c r="I274" s="595"/>
      <c r="J274" s="595"/>
      <c r="K274" s="53"/>
      <c r="L274" s="53"/>
      <c r="M274" s="53"/>
      <c r="N274" s="398"/>
      <c r="O274" s="398"/>
      <c r="P274" s="398"/>
      <c r="Q274" s="398"/>
      <c r="R274" s="398"/>
      <c r="S274" s="398"/>
    </row>
    <row r="275" spans="1:19" s="32" customFormat="1">
      <c r="A275" s="398"/>
      <c r="B275" s="53"/>
      <c r="C275" s="53"/>
      <c r="D275" s="53"/>
      <c r="E275" s="595"/>
      <c r="F275" s="595"/>
      <c r="G275" s="595"/>
      <c r="H275" s="595"/>
      <c r="I275" s="595"/>
      <c r="J275" s="595"/>
      <c r="K275" s="53"/>
      <c r="L275" s="53"/>
      <c r="M275" s="53"/>
      <c r="N275" s="398"/>
      <c r="O275" s="398"/>
      <c r="P275" s="398"/>
      <c r="Q275" s="398"/>
      <c r="R275" s="398"/>
      <c r="S275" s="398"/>
    </row>
    <row r="276" spans="1:19" s="32" customFormat="1">
      <c r="A276" s="398"/>
      <c r="B276" s="53"/>
      <c r="C276" s="53"/>
      <c r="D276" s="53"/>
      <c r="E276" s="595"/>
      <c r="F276" s="595"/>
      <c r="G276" s="595"/>
      <c r="H276" s="595"/>
      <c r="I276" s="595"/>
      <c r="J276" s="595"/>
      <c r="K276" s="53"/>
      <c r="L276" s="53"/>
      <c r="M276" s="53"/>
      <c r="N276" s="398"/>
      <c r="O276" s="398"/>
      <c r="P276" s="398"/>
      <c r="Q276" s="398"/>
      <c r="R276" s="398"/>
      <c r="S276" s="398"/>
    </row>
    <row r="277" spans="1:19" s="32" customFormat="1">
      <c r="A277" s="398"/>
      <c r="B277" s="53"/>
      <c r="C277" s="53"/>
      <c r="D277" s="53"/>
      <c r="E277" s="595"/>
      <c r="F277" s="595"/>
      <c r="G277" s="595"/>
      <c r="H277" s="595"/>
      <c r="I277" s="595"/>
      <c r="J277" s="595"/>
      <c r="K277" s="53"/>
      <c r="L277" s="53"/>
      <c r="M277" s="53"/>
      <c r="N277" s="398"/>
      <c r="O277" s="398"/>
      <c r="P277" s="398"/>
      <c r="Q277" s="398"/>
      <c r="R277" s="398"/>
      <c r="S277" s="398"/>
    </row>
    <row r="278" spans="1:19" s="32" customFormat="1">
      <c r="A278" s="398"/>
      <c r="B278" s="53"/>
      <c r="C278" s="53"/>
      <c r="D278" s="53"/>
      <c r="E278" s="595"/>
      <c r="F278" s="595"/>
      <c r="G278" s="595"/>
      <c r="H278" s="595"/>
      <c r="I278" s="595"/>
      <c r="J278" s="595"/>
      <c r="K278" s="53"/>
      <c r="L278" s="53"/>
      <c r="M278" s="53"/>
      <c r="N278" s="398"/>
      <c r="O278" s="398"/>
      <c r="P278" s="398"/>
      <c r="Q278" s="398"/>
      <c r="R278" s="398"/>
      <c r="S278" s="398"/>
    </row>
    <row r="279" spans="1:19" s="32" customFormat="1">
      <c r="A279" s="398"/>
      <c r="B279" s="53"/>
      <c r="C279" s="53"/>
      <c r="D279" s="53"/>
      <c r="E279" s="595"/>
      <c r="F279" s="595"/>
      <c r="G279" s="595"/>
      <c r="H279" s="595"/>
      <c r="I279" s="595"/>
      <c r="J279" s="595"/>
      <c r="K279" s="53"/>
      <c r="L279" s="53"/>
      <c r="M279" s="53"/>
      <c r="N279" s="398"/>
      <c r="O279" s="398"/>
      <c r="P279" s="398"/>
      <c r="Q279" s="398"/>
      <c r="R279" s="398"/>
      <c r="S279" s="398"/>
    </row>
    <row r="280" spans="1:19" s="32" customFormat="1">
      <c r="A280" s="398"/>
      <c r="B280" s="53"/>
      <c r="C280" s="53"/>
      <c r="D280" s="53"/>
      <c r="E280" s="595"/>
      <c r="F280" s="595"/>
      <c r="G280" s="595"/>
      <c r="H280" s="595"/>
      <c r="I280" s="595"/>
      <c r="J280" s="595"/>
      <c r="K280" s="53"/>
      <c r="L280" s="53"/>
      <c r="M280" s="53"/>
      <c r="N280" s="398"/>
      <c r="O280" s="398"/>
      <c r="P280" s="398"/>
      <c r="Q280" s="398"/>
      <c r="R280" s="398"/>
      <c r="S280" s="398"/>
    </row>
    <row r="281" spans="1:19" s="32" customFormat="1">
      <c r="A281" s="398"/>
      <c r="B281" s="53"/>
      <c r="C281" s="53"/>
      <c r="D281" s="53"/>
      <c r="E281" s="595"/>
      <c r="F281" s="595"/>
      <c r="G281" s="595"/>
      <c r="H281" s="595"/>
      <c r="I281" s="595"/>
      <c r="J281" s="595"/>
      <c r="K281" s="53"/>
      <c r="L281" s="53"/>
      <c r="M281" s="53"/>
      <c r="N281" s="398"/>
      <c r="O281" s="398"/>
      <c r="P281" s="398"/>
      <c r="Q281" s="398"/>
      <c r="R281" s="398"/>
      <c r="S281" s="398"/>
    </row>
    <row r="282" spans="1:19" s="32" customFormat="1">
      <c r="A282" s="398"/>
      <c r="B282" s="53"/>
      <c r="C282" s="53"/>
      <c r="D282" s="53"/>
      <c r="E282" s="595"/>
      <c r="F282" s="595"/>
      <c r="G282" s="595"/>
      <c r="H282" s="595"/>
      <c r="I282" s="595"/>
      <c r="J282" s="595"/>
      <c r="K282" s="53"/>
      <c r="L282" s="53"/>
      <c r="M282" s="53"/>
      <c r="N282" s="398"/>
      <c r="O282" s="398"/>
      <c r="P282" s="398"/>
      <c r="Q282" s="398"/>
      <c r="R282" s="398"/>
      <c r="S282" s="398"/>
    </row>
    <row r="283" spans="1:19" s="32" customFormat="1">
      <c r="A283" s="398"/>
      <c r="B283" s="53"/>
      <c r="C283" s="53"/>
      <c r="D283" s="53"/>
      <c r="E283" s="595"/>
      <c r="F283" s="595"/>
      <c r="G283" s="595"/>
      <c r="H283" s="595"/>
      <c r="I283" s="595"/>
      <c r="J283" s="595"/>
      <c r="K283" s="53"/>
      <c r="L283" s="53"/>
      <c r="M283" s="53"/>
      <c r="N283" s="398"/>
      <c r="O283" s="398"/>
      <c r="P283" s="398"/>
      <c r="Q283" s="398"/>
      <c r="R283" s="398"/>
      <c r="S283" s="398"/>
    </row>
    <row r="284" spans="1:19" s="32" customFormat="1">
      <c r="A284" s="398"/>
      <c r="B284" s="53"/>
      <c r="C284" s="53"/>
      <c r="D284" s="53"/>
      <c r="E284" s="595"/>
      <c r="F284" s="595"/>
      <c r="G284" s="595"/>
      <c r="H284" s="595"/>
      <c r="I284" s="595"/>
      <c r="J284" s="595"/>
      <c r="K284" s="53"/>
      <c r="L284" s="53"/>
      <c r="M284" s="53"/>
      <c r="N284" s="398"/>
      <c r="O284" s="398"/>
      <c r="P284" s="398"/>
      <c r="Q284" s="398"/>
      <c r="R284" s="398"/>
      <c r="S284" s="398"/>
    </row>
    <row r="285" spans="1:19" s="32" customFormat="1">
      <c r="A285" s="398"/>
      <c r="B285" s="53"/>
      <c r="C285" s="53"/>
      <c r="D285" s="53"/>
      <c r="E285" s="595"/>
      <c r="F285" s="595"/>
      <c r="G285" s="595"/>
      <c r="H285" s="595"/>
      <c r="I285" s="595"/>
      <c r="J285" s="595"/>
      <c r="K285" s="53"/>
      <c r="L285" s="53"/>
      <c r="M285" s="53"/>
      <c r="N285" s="398"/>
      <c r="O285" s="398"/>
      <c r="P285" s="398"/>
      <c r="Q285" s="398"/>
      <c r="R285" s="398"/>
      <c r="S285" s="398"/>
    </row>
    <row r="286" spans="1:19" s="32" customFormat="1">
      <c r="A286" s="398"/>
      <c r="B286" s="53"/>
      <c r="C286" s="53"/>
      <c r="D286" s="53"/>
      <c r="E286" s="595"/>
      <c r="F286" s="595"/>
      <c r="G286" s="595"/>
      <c r="H286" s="595"/>
      <c r="I286" s="595"/>
      <c r="J286" s="595"/>
      <c r="K286" s="53"/>
      <c r="L286" s="53"/>
      <c r="M286" s="53"/>
      <c r="N286" s="398"/>
      <c r="O286" s="398"/>
      <c r="P286" s="398"/>
      <c r="Q286" s="398"/>
      <c r="R286" s="398"/>
      <c r="S286" s="398"/>
    </row>
    <row r="287" spans="1:19" s="32" customFormat="1">
      <c r="A287" s="398"/>
      <c r="B287" s="53"/>
      <c r="C287" s="53"/>
      <c r="D287" s="53"/>
      <c r="E287" s="595"/>
      <c r="F287" s="595"/>
      <c r="G287" s="595"/>
      <c r="H287" s="595"/>
      <c r="I287" s="595"/>
      <c r="J287" s="595"/>
      <c r="K287" s="53"/>
      <c r="L287" s="53"/>
      <c r="M287" s="53"/>
      <c r="N287" s="398"/>
      <c r="O287" s="398"/>
      <c r="P287" s="398"/>
      <c r="Q287" s="398"/>
      <c r="R287" s="398"/>
      <c r="S287" s="398"/>
    </row>
    <row r="288" spans="1:19" s="32" customFormat="1">
      <c r="A288" s="398"/>
      <c r="B288" s="53"/>
      <c r="C288" s="53"/>
      <c r="D288" s="53"/>
      <c r="E288" s="595"/>
      <c r="F288" s="595"/>
      <c r="G288" s="595"/>
      <c r="H288" s="595"/>
      <c r="I288" s="595"/>
      <c r="J288" s="595"/>
      <c r="K288" s="53"/>
      <c r="L288" s="53"/>
      <c r="M288" s="53"/>
      <c r="N288" s="398"/>
      <c r="O288" s="398"/>
      <c r="P288" s="398"/>
      <c r="Q288" s="398"/>
      <c r="R288" s="398"/>
      <c r="S288" s="398"/>
    </row>
    <row r="289" spans="1:19" s="32" customFormat="1">
      <c r="A289" s="398"/>
      <c r="B289" s="53"/>
      <c r="C289" s="53"/>
      <c r="D289" s="53"/>
      <c r="E289" s="595"/>
      <c r="F289" s="595"/>
      <c r="G289" s="595"/>
      <c r="H289" s="595"/>
      <c r="I289" s="595"/>
      <c r="J289" s="595"/>
      <c r="K289" s="53"/>
      <c r="L289" s="53"/>
      <c r="M289" s="53"/>
      <c r="N289" s="398"/>
      <c r="O289" s="398"/>
      <c r="P289" s="398"/>
      <c r="Q289" s="398"/>
      <c r="R289" s="398"/>
      <c r="S289" s="398"/>
    </row>
    <row r="290" spans="1:19" s="32" customFormat="1">
      <c r="A290" s="398"/>
      <c r="B290" s="53"/>
      <c r="C290" s="53"/>
      <c r="D290" s="53"/>
      <c r="E290" s="595"/>
      <c r="F290" s="595"/>
      <c r="G290" s="595"/>
      <c r="H290" s="595"/>
      <c r="I290" s="595"/>
      <c r="J290" s="595"/>
      <c r="K290" s="53"/>
      <c r="L290" s="53"/>
      <c r="M290" s="53"/>
      <c r="N290" s="398"/>
      <c r="O290" s="398"/>
      <c r="P290" s="398"/>
      <c r="Q290" s="398"/>
      <c r="R290" s="398"/>
      <c r="S290" s="398"/>
    </row>
    <row r="291" spans="1:19" s="32" customFormat="1">
      <c r="A291" s="398"/>
      <c r="B291" s="53"/>
      <c r="C291" s="53"/>
      <c r="D291" s="53"/>
      <c r="E291" s="595"/>
      <c r="F291" s="595"/>
      <c r="G291" s="595"/>
      <c r="H291" s="595"/>
      <c r="I291" s="595"/>
      <c r="J291" s="595"/>
      <c r="K291" s="53"/>
      <c r="L291" s="53"/>
      <c r="M291" s="53"/>
      <c r="N291" s="398"/>
      <c r="O291" s="398"/>
      <c r="P291" s="398"/>
      <c r="Q291" s="398"/>
      <c r="R291" s="398"/>
      <c r="S291" s="398"/>
    </row>
    <row r="292" spans="1:19" s="32" customFormat="1">
      <c r="A292" s="398"/>
      <c r="B292" s="53"/>
      <c r="C292" s="53"/>
      <c r="D292" s="53"/>
      <c r="E292" s="595"/>
      <c r="F292" s="595"/>
      <c r="G292" s="595"/>
      <c r="H292" s="595"/>
      <c r="I292" s="595"/>
      <c r="J292" s="595"/>
      <c r="K292" s="53"/>
      <c r="L292" s="53"/>
      <c r="M292" s="53"/>
      <c r="N292" s="398"/>
      <c r="O292" s="398"/>
      <c r="P292" s="398"/>
      <c r="Q292" s="398"/>
      <c r="R292" s="398"/>
      <c r="S292" s="398"/>
    </row>
    <row r="293" spans="1:19" s="32" customFormat="1">
      <c r="A293" s="398"/>
      <c r="B293" s="53"/>
      <c r="C293" s="53"/>
      <c r="D293" s="53"/>
      <c r="E293" s="595"/>
      <c r="F293" s="595"/>
      <c r="G293" s="595"/>
      <c r="H293" s="595"/>
      <c r="I293" s="595"/>
      <c r="J293" s="595"/>
      <c r="K293" s="53"/>
      <c r="L293" s="53"/>
      <c r="M293" s="53"/>
      <c r="N293" s="398"/>
      <c r="O293" s="398"/>
      <c r="P293" s="398"/>
      <c r="Q293" s="398"/>
      <c r="R293" s="398"/>
      <c r="S293" s="398"/>
    </row>
    <row r="294" spans="1:19" ht="15">
      <c r="A294" s="398"/>
      <c r="B294" s="672" t="s">
        <v>28</v>
      </c>
      <c r="C294" s="672"/>
      <c r="D294" s="53"/>
      <c r="E294" s="595"/>
      <c r="F294" s="595"/>
      <c r="G294" s="595"/>
      <c r="H294" s="595"/>
      <c r="I294" s="595"/>
      <c r="J294" s="595"/>
      <c r="K294" s="53"/>
      <c r="L294" s="53"/>
      <c r="M294" s="53"/>
      <c r="N294" s="398"/>
      <c r="O294" s="398"/>
      <c r="P294" s="398"/>
      <c r="Q294" s="398"/>
      <c r="R294" s="398"/>
      <c r="S294" s="398"/>
    </row>
    <row r="295" spans="1:19" s="32" customFormat="1" ht="12.75" customHeight="1">
      <c r="A295" s="398"/>
      <c r="B295" s="53"/>
      <c r="C295" s="53"/>
      <c r="D295" s="53"/>
      <c r="E295" s="680" t="str">
        <f>$E$75</f>
        <v>Benefits (per User)</v>
      </c>
      <c r="F295" s="690"/>
      <c r="G295" s="679"/>
      <c r="H295" s="835" t="str">
        <f>$H$75</f>
        <v>Benefits (000)</v>
      </c>
      <c r="I295" s="835"/>
      <c r="J295" s="835"/>
      <c r="K295" s="53"/>
      <c r="L295" s="53"/>
      <c r="M295" s="53"/>
      <c r="N295" s="398"/>
      <c r="O295" s="398"/>
      <c r="P295" s="398"/>
      <c r="Q295" s="398"/>
      <c r="R295" s="398"/>
      <c r="S295" s="398"/>
    </row>
    <row r="296" spans="1:19" s="32" customFormat="1" ht="25.5">
      <c r="A296" s="398"/>
      <c r="B296" s="53"/>
      <c r="C296" s="53"/>
      <c r="D296" s="53"/>
      <c r="E296" s="671" t="str">
        <f>$E$20</f>
        <v>One-Time</v>
      </c>
      <c r="F296" s="671" t="str">
        <f>$F$20</f>
        <v>Annual Recurring</v>
      </c>
      <c r="G296" s="671" t="str">
        <f>$G$20</f>
        <v>Project Total</v>
      </c>
      <c r="H296" s="671" t="str">
        <f>$E$20</f>
        <v>One-Time</v>
      </c>
      <c r="I296" s="671" t="str">
        <f>$F$20</f>
        <v>Annual Recurring</v>
      </c>
      <c r="J296" s="671" t="str">
        <f>$G$20</f>
        <v>Project Total</v>
      </c>
      <c r="K296" s="53"/>
      <c r="L296" s="53"/>
      <c r="M296" s="53"/>
      <c r="N296" s="398"/>
      <c r="O296" s="398"/>
      <c r="P296" s="398"/>
      <c r="Q296" s="398"/>
      <c r="R296" s="398"/>
      <c r="S296" s="398"/>
    </row>
    <row r="297" spans="1:19" ht="15">
      <c r="A297" s="398"/>
      <c r="B297" s="672"/>
      <c r="C297" s="706" t="str">
        <f>Productivity!C204</f>
        <v>Individual Computing</v>
      </c>
      <c r="D297" s="53"/>
      <c r="E297" s="595"/>
      <c r="F297" s="595"/>
      <c r="G297" s="595"/>
      <c r="H297" s="595"/>
      <c r="I297" s="595"/>
      <c r="J297" s="595"/>
      <c r="K297" s="53"/>
      <c r="L297" s="53"/>
      <c r="M297" s="53"/>
      <c r="N297" s="398"/>
      <c r="O297" s="398"/>
      <c r="P297" s="398"/>
      <c r="Q297" s="398"/>
      <c r="R297" s="398"/>
      <c r="S297" s="398"/>
    </row>
    <row r="298" spans="1:19">
      <c r="A298" s="398"/>
      <c r="B298" s="53"/>
      <c r="C298" s="53"/>
      <c r="D298" s="696" t="str">
        <f>Productivity!D205</f>
        <v>Document Creation</v>
      </c>
      <c r="E298" s="539"/>
      <c r="F298" s="539">
        <f>Productivity!H282</f>
        <v>0</v>
      </c>
      <c r="G298" s="539">
        <f>E298+F298*ProjectTtlMultBen</f>
        <v>0</v>
      </c>
      <c r="H298" s="539">
        <f t="shared" ref="H298:I302" si="46">E298*PCUsers/1000</f>
        <v>0</v>
      </c>
      <c r="I298" s="539">
        <f t="shared" si="46"/>
        <v>0</v>
      </c>
      <c r="J298" s="539">
        <f>H298+I298*ProjectTtlMultBen</f>
        <v>0</v>
      </c>
      <c r="K298" s="53"/>
      <c r="L298" s="53"/>
      <c r="M298" s="53"/>
      <c r="N298" s="398"/>
      <c r="O298" s="398"/>
      <c r="P298" s="398"/>
      <c r="Q298" s="398"/>
      <c r="R298" s="398"/>
      <c r="S298" s="398"/>
    </row>
    <row r="299" spans="1:19">
      <c r="A299" s="398"/>
      <c r="B299" s="53"/>
      <c r="C299" s="53"/>
      <c r="D299" s="696" t="str">
        <f>Productivity!D206</f>
        <v>Data &amp; Information Access/Analysis</v>
      </c>
      <c r="E299" s="539"/>
      <c r="F299" s="539">
        <f>Productivity!H283</f>
        <v>0</v>
      </c>
      <c r="G299" s="539">
        <f>E299+F299*ProjectTtlMultBen</f>
        <v>0</v>
      </c>
      <c r="H299" s="539">
        <f t="shared" si="46"/>
        <v>0</v>
      </c>
      <c r="I299" s="539">
        <f t="shared" si="46"/>
        <v>0</v>
      </c>
      <c r="J299" s="539">
        <f>H299+I299*ProjectTtlMultBen</f>
        <v>0</v>
      </c>
      <c r="K299" s="53"/>
      <c r="L299" s="53"/>
      <c r="M299" s="53"/>
      <c r="N299" s="398"/>
      <c r="O299" s="398"/>
      <c r="P299" s="398"/>
      <c r="Q299" s="398"/>
      <c r="R299" s="398"/>
      <c r="S299" s="398"/>
    </row>
    <row r="300" spans="1:19">
      <c r="A300" s="398"/>
      <c r="B300" s="53"/>
      <c r="C300" s="53"/>
      <c r="D300" s="696" t="str">
        <f>Productivity!D207</f>
        <v>Email, Calendar, Contact, &amp; Task Mgmt</v>
      </c>
      <c r="E300" s="539"/>
      <c r="F300" s="539">
        <f>Productivity!H284</f>
        <v>0</v>
      </c>
      <c r="G300" s="539">
        <f>E300+F300*ProjectTtlMultBen</f>
        <v>0</v>
      </c>
      <c r="H300" s="539">
        <f t="shared" si="46"/>
        <v>0</v>
      </c>
      <c r="I300" s="539">
        <f t="shared" si="46"/>
        <v>0</v>
      </c>
      <c r="J300" s="539">
        <f>H300+I300*ProjectTtlMultBen</f>
        <v>0</v>
      </c>
      <c r="K300" s="53"/>
      <c r="L300" s="53"/>
      <c r="M300" s="53"/>
      <c r="N300" s="398"/>
      <c r="O300" s="398"/>
      <c r="P300" s="398"/>
      <c r="Q300" s="398"/>
      <c r="R300" s="398"/>
      <c r="S300" s="398"/>
    </row>
    <row r="301" spans="1:19">
      <c r="A301" s="398"/>
      <c r="B301" s="53"/>
      <c r="C301" s="53"/>
      <c r="D301" s="696" t="str">
        <f>Productivity!D208</f>
        <v>LOB Application-Related Activities</v>
      </c>
      <c r="E301" s="539"/>
      <c r="F301" s="539">
        <f>Productivity!H285</f>
        <v>42.931924765579652</v>
      </c>
      <c r="G301" s="539">
        <f>E301+F301*ProjectTtlMultBen</f>
        <v>214.65962382789826</v>
      </c>
      <c r="H301" s="539">
        <f t="shared" si="46"/>
        <v>0</v>
      </c>
      <c r="I301" s="539">
        <f t="shared" si="46"/>
        <v>118.15693859495671</v>
      </c>
      <c r="J301" s="539">
        <f>H301+I301*ProjectTtlMultBen</f>
        <v>590.78469297478352</v>
      </c>
      <c r="K301" s="53"/>
      <c r="L301" s="53"/>
      <c r="M301" s="53"/>
      <c r="N301" s="398"/>
      <c r="O301" s="398"/>
      <c r="P301" s="398"/>
      <c r="Q301" s="398"/>
      <c r="R301" s="398"/>
      <c r="S301" s="398"/>
    </row>
    <row r="302" spans="1:19" ht="13.5" thickBot="1">
      <c r="A302" s="398"/>
      <c r="B302" s="53"/>
      <c r="C302" s="53"/>
      <c r="D302" s="696" t="str">
        <f>Productivity!D209</f>
        <v>Other</v>
      </c>
      <c r="E302" s="539"/>
      <c r="F302" s="539">
        <f>Productivity!H286</f>
        <v>0</v>
      </c>
      <c r="G302" s="539">
        <f>E302+F302*ProjectTtlMultBen</f>
        <v>0</v>
      </c>
      <c r="H302" s="539">
        <f t="shared" si="46"/>
        <v>0</v>
      </c>
      <c r="I302" s="539">
        <f t="shared" si="46"/>
        <v>0</v>
      </c>
      <c r="J302" s="539">
        <f>H302+I302*ProjectTtlMultBen</f>
        <v>0</v>
      </c>
      <c r="K302" s="53"/>
      <c r="L302" s="53"/>
      <c r="M302" s="53"/>
      <c r="N302" s="398"/>
      <c r="O302" s="398"/>
      <c r="P302" s="398"/>
      <c r="Q302" s="398"/>
      <c r="R302" s="398"/>
      <c r="S302" s="398"/>
    </row>
    <row r="303" spans="1:19" ht="13.5" thickTop="1">
      <c r="A303" s="398"/>
      <c r="B303" s="53"/>
      <c r="C303" s="53"/>
      <c r="D303" s="38" t="str">
        <f>Productivity!D210</f>
        <v>Total</v>
      </c>
      <c r="E303" s="550">
        <f t="shared" ref="E303:J303" si="47">SUM(E298:E302)</f>
        <v>0</v>
      </c>
      <c r="F303" s="550">
        <f t="shared" si="47"/>
        <v>42.931924765579652</v>
      </c>
      <c r="G303" s="550">
        <f t="shared" si="47"/>
        <v>214.65962382789826</v>
      </c>
      <c r="H303" s="550">
        <f t="shared" si="47"/>
        <v>0</v>
      </c>
      <c r="I303" s="550">
        <f t="shared" si="47"/>
        <v>118.15693859495671</v>
      </c>
      <c r="J303" s="550">
        <f t="shared" si="47"/>
        <v>590.78469297478352</v>
      </c>
      <c r="K303" s="53"/>
      <c r="L303" s="53"/>
      <c r="M303" s="53"/>
      <c r="N303" s="398"/>
      <c r="O303" s="398"/>
      <c r="P303" s="398"/>
      <c r="Q303" s="398"/>
      <c r="R303" s="398"/>
      <c r="S303" s="398"/>
    </row>
    <row r="304" spans="1:19" ht="15">
      <c r="A304" s="398"/>
      <c r="B304" s="672"/>
      <c r="C304" s="706" t="str">
        <f>Productivity!C211</f>
        <v>Collaborative Computing</v>
      </c>
      <c r="D304" s="53"/>
      <c r="E304" s="595"/>
      <c r="F304" s="595"/>
      <c r="G304" s="595"/>
      <c r="H304" s="595"/>
      <c r="I304" s="595"/>
      <c r="J304" s="595"/>
      <c r="K304" s="53"/>
      <c r="L304" s="53"/>
      <c r="M304" s="53"/>
      <c r="N304" s="398"/>
      <c r="O304" s="398"/>
      <c r="P304" s="398"/>
      <c r="Q304" s="398"/>
      <c r="R304" s="398"/>
      <c r="S304" s="398"/>
    </row>
    <row r="305" spans="1:19">
      <c r="A305" s="398"/>
      <c r="B305" s="53"/>
      <c r="C305" s="53"/>
      <c r="D305" s="696" t="str">
        <f>Productivity!D212</f>
        <v>Document Collaboration</v>
      </c>
      <c r="E305" s="539"/>
      <c r="F305" s="539">
        <f>Productivity!H289</f>
        <v>0</v>
      </c>
      <c r="G305" s="539">
        <f>E305+F305*ProjectTtlMultBen</f>
        <v>0</v>
      </c>
      <c r="H305" s="539">
        <f t="shared" ref="H305:I308" si="48">E305*PCUsers/1000</f>
        <v>0</v>
      </c>
      <c r="I305" s="539">
        <f t="shared" si="48"/>
        <v>0</v>
      </c>
      <c r="J305" s="539">
        <f>H305+I305*ProjectTtlMultBen</f>
        <v>0</v>
      </c>
      <c r="K305" s="53"/>
      <c r="L305" s="53"/>
      <c r="M305" s="53"/>
      <c r="N305" s="398"/>
      <c r="O305" s="398"/>
      <c r="P305" s="398"/>
      <c r="Q305" s="398"/>
      <c r="R305" s="398"/>
      <c r="S305" s="398"/>
    </row>
    <row r="306" spans="1:19">
      <c r="A306" s="398"/>
      <c r="B306" s="53"/>
      <c r="C306" s="53"/>
      <c r="D306" s="696" t="str">
        <f>Productivity!D213</f>
        <v>Workflow (routing)</v>
      </c>
      <c r="E306" s="539"/>
      <c r="F306" s="539">
        <f>Productivity!H290</f>
        <v>0</v>
      </c>
      <c r="G306" s="539">
        <f>E306+F306*ProjectTtlMultBen</f>
        <v>0</v>
      </c>
      <c r="H306" s="539">
        <f t="shared" si="48"/>
        <v>0</v>
      </c>
      <c r="I306" s="539">
        <f t="shared" si="48"/>
        <v>0</v>
      </c>
      <c r="J306" s="539">
        <f>H306+I306*ProjectTtlMultBen</f>
        <v>0</v>
      </c>
      <c r="K306" s="53"/>
      <c r="L306" s="53"/>
      <c r="M306" s="53"/>
      <c r="N306" s="398"/>
      <c r="O306" s="398"/>
      <c r="P306" s="398"/>
      <c r="Q306" s="398"/>
      <c r="R306" s="398"/>
      <c r="S306" s="398"/>
    </row>
    <row r="307" spans="1:19">
      <c r="A307" s="398"/>
      <c r="B307" s="53"/>
      <c r="C307" s="53"/>
      <c r="D307" s="696" t="str">
        <f>Productivity!D214</f>
        <v>Coordination / Project Mgmt</v>
      </c>
      <c r="E307" s="539"/>
      <c r="F307" s="539">
        <f>Productivity!H291</f>
        <v>0</v>
      </c>
      <c r="G307" s="539">
        <f>E307+F307*ProjectTtlMultBen</f>
        <v>0</v>
      </c>
      <c r="H307" s="539">
        <f t="shared" si="48"/>
        <v>0</v>
      </c>
      <c r="I307" s="539">
        <f t="shared" si="48"/>
        <v>0</v>
      </c>
      <c r="J307" s="539">
        <f>H307+I307*ProjectTtlMultBen</f>
        <v>0</v>
      </c>
      <c r="K307" s="53"/>
      <c r="L307" s="53"/>
      <c r="M307" s="53"/>
      <c r="N307" s="398"/>
      <c r="O307" s="398"/>
      <c r="P307" s="398"/>
      <c r="Q307" s="398"/>
      <c r="R307" s="398"/>
      <c r="S307" s="398"/>
    </row>
    <row r="308" spans="1:19" ht="13.5" thickBot="1">
      <c r="A308" s="398"/>
      <c r="B308" s="53"/>
      <c r="C308" s="53"/>
      <c r="D308" s="696" t="str">
        <f>Productivity!D215</f>
        <v>Other</v>
      </c>
      <c r="E308" s="539"/>
      <c r="F308" s="539">
        <f>Productivity!H292</f>
        <v>0</v>
      </c>
      <c r="G308" s="539">
        <f>E308+F308*ProjectTtlMultBen</f>
        <v>0</v>
      </c>
      <c r="H308" s="539">
        <f t="shared" si="48"/>
        <v>0</v>
      </c>
      <c r="I308" s="539">
        <f t="shared" si="48"/>
        <v>0</v>
      </c>
      <c r="J308" s="539">
        <f>H308+I308*ProjectTtlMultBen</f>
        <v>0</v>
      </c>
      <c r="K308" s="53"/>
      <c r="L308" s="53"/>
      <c r="M308" s="53"/>
      <c r="N308" s="398"/>
      <c r="O308" s="398"/>
      <c r="P308" s="398"/>
      <c r="Q308" s="398"/>
      <c r="R308" s="398"/>
      <c r="S308" s="398"/>
    </row>
    <row r="309" spans="1:19" ht="13.5" thickTop="1">
      <c r="A309" s="398"/>
      <c r="B309" s="53"/>
      <c r="C309" s="53"/>
      <c r="D309" s="38" t="str">
        <f>Productivity!D216</f>
        <v>Total</v>
      </c>
      <c r="E309" s="550">
        <f t="shared" ref="E309:J309" si="49">SUM(E305:E308)</f>
        <v>0</v>
      </c>
      <c r="F309" s="550">
        <f t="shared" si="49"/>
        <v>0</v>
      </c>
      <c r="G309" s="550">
        <f t="shared" si="49"/>
        <v>0</v>
      </c>
      <c r="H309" s="550">
        <f t="shared" si="49"/>
        <v>0</v>
      </c>
      <c r="I309" s="550">
        <f t="shared" si="49"/>
        <v>0</v>
      </c>
      <c r="J309" s="550">
        <f t="shared" si="49"/>
        <v>0</v>
      </c>
      <c r="K309" s="53"/>
      <c r="L309" s="53"/>
      <c r="M309" s="53"/>
      <c r="N309" s="398"/>
      <c r="O309" s="398"/>
      <c r="P309" s="398"/>
      <c r="Q309" s="398"/>
      <c r="R309" s="398"/>
      <c r="S309" s="398"/>
    </row>
    <row r="310" spans="1:19" ht="15">
      <c r="A310" s="398"/>
      <c r="B310" s="672"/>
      <c r="C310" s="706" t="str">
        <f>Productivity!C217</f>
        <v>PC Systems Management</v>
      </c>
      <c r="D310" s="53"/>
      <c r="E310" s="595"/>
      <c r="F310" s="595"/>
      <c r="G310" s="595"/>
      <c r="H310" s="595"/>
      <c r="I310" s="595"/>
      <c r="J310" s="595"/>
      <c r="K310" s="53"/>
      <c r="L310" s="53"/>
      <c r="M310" s="53"/>
      <c r="N310" s="398"/>
      <c r="O310" s="398"/>
      <c r="P310" s="398"/>
      <c r="Q310" s="398"/>
      <c r="R310" s="398"/>
      <c r="S310" s="398"/>
    </row>
    <row r="311" spans="1:19">
      <c r="A311" s="398"/>
      <c r="B311" s="53"/>
      <c r="C311" s="53"/>
      <c r="D311" s="696" t="str">
        <f>Productivity!D218</f>
        <v>Support, Self-Help, &amp; Learning</v>
      </c>
      <c r="E311" s="539"/>
      <c r="F311" s="539">
        <f>Productivity!H295</f>
        <v>12.74443499028739</v>
      </c>
      <c r="G311" s="539">
        <f t="shared" ref="G311:G316" si="50">E311+F311*ProjectTtlMultBen</f>
        <v>63.722174951436948</v>
      </c>
      <c r="H311" s="539">
        <f t="shared" ref="H311:I316" si="51">E311*PCUsers/1000</f>
        <v>0</v>
      </c>
      <c r="I311" s="539">
        <f t="shared" si="51"/>
        <v>35.075143516092794</v>
      </c>
      <c r="J311" s="539">
        <f t="shared" ref="J311:J316" si="52">H311+I311*ProjectTtlMultBen</f>
        <v>175.37571758046397</v>
      </c>
      <c r="K311" s="53"/>
      <c r="L311" s="53"/>
      <c r="M311" s="53"/>
      <c r="N311" s="398"/>
      <c r="O311" s="398"/>
      <c r="P311" s="398"/>
      <c r="Q311" s="398"/>
      <c r="R311" s="398"/>
      <c r="S311" s="398"/>
    </row>
    <row r="312" spans="1:19">
      <c r="A312" s="398"/>
      <c r="B312" s="53"/>
      <c r="C312" s="53"/>
      <c r="D312" s="696" t="str">
        <f>Productivity!D219</f>
        <v>Performance</v>
      </c>
      <c r="E312" s="539"/>
      <c r="F312" s="539">
        <f>Productivity!H296</f>
        <v>11.991729833579271</v>
      </c>
      <c r="G312" s="539">
        <f t="shared" si="50"/>
        <v>59.958649167896354</v>
      </c>
      <c r="H312" s="539">
        <f t="shared" si="51"/>
        <v>0</v>
      </c>
      <c r="I312" s="539">
        <f t="shared" si="51"/>
        <v>33.003553726748585</v>
      </c>
      <c r="J312" s="539">
        <f t="shared" si="52"/>
        <v>165.01776863374292</v>
      </c>
      <c r="K312" s="53"/>
      <c r="L312" s="53"/>
      <c r="M312" s="53"/>
      <c r="N312" s="398"/>
      <c r="O312" s="398"/>
      <c r="P312" s="398"/>
      <c r="Q312" s="398"/>
      <c r="R312" s="398"/>
      <c r="S312" s="398"/>
    </row>
    <row r="313" spans="1:19">
      <c r="A313" s="398"/>
      <c r="B313" s="53"/>
      <c r="C313" s="53"/>
      <c r="D313" s="696" t="str">
        <f>Productivity!D220</f>
        <v>Mobility &amp; Remote Connectivity</v>
      </c>
      <c r="E313" s="539"/>
      <c r="F313" s="539">
        <f>Productivity!H297</f>
        <v>3.4697787715184925</v>
      </c>
      <c r="G313" s="539">
        <f t="shared" si="50"/>
        <v>17.348893857592461</v>
      </c>
      <c r="H313" s="539">
        <f t="shared" si="51"/>
        <v>0</v>
      </c>
      <c r="I313" s="539">
        <f t="shared" si="51"/>
        <v>9.5495005053463604</v>
      </c>
      <c r="J313" s="539">
        <f t="shared" si="52"/>
        <v>47.7475025267318</v>
      </c>
      <c r="K313" s="53"/>
      <c r="L313" s="53"/>
      <c r="M313" s="53"/>
      <c r="N313" s="398"/>
      <c r="O313" s="398"/>
      <c r="P313" s="398"/>
      <c r="Q313" s="398"/>
      <c r="R313" s="398"/>
      <c r="S313" s="398"/>
    </row>
    <row r="314" spans="1:19">
      <c r="A314" s="398"/>
      <c r="B314" s="53"/>
      <c r="C314" s="53"/>
      <c r="D314" s="696" t="str">
        <f>Productivity!D221</f>
        <v>Security &amp; Privacy</v>
      </c>
      <c r="E314" s="539"/>
      <c r="F314" s="539">
        <f>Productivity!H298</f>
        <v>5.6034645918543564</v>
      </c>
      <c r="G314" s="539">
        <f t="shared" si="50"/>
        <v>28.01732295927178</v>
      </c>
      <c r="H314" s="539">
        <f t="shared" si="51"/>
        <v>0</v>
      </c>
      <c r="I314" s="539">
        <f t="shared" si="51"/>
        <v>15.421815474473522</v>
      </c>
      <c r="J314" s="539">
        <f t="shared" si="52"/>
        <v>77.109077372367608</v>
      </c>
      <c r="K314" s="53"/>
      <c r="L314" s="53"/>
      <c r="M314" s="53"/>
      <c r="N314" s="398"/>
      <c r="O314" s="398"/>
      <c r="P314" s="398"/>
      <c r="Q314" s="398"/>
      <c r="R314" s="398"/>
      <c r="S314" s="398"/>
    </row>
    <row r="315" spans="1:19">
      <c r="A315" s="398"/>
      <c r="B315" s="53"/>
      <c r="C315" s="53"/>
      <c r="D315" s="696" t="str">
        <f>Productivity!D222</f>
        <v>System UI Navigation</v>
      </c>
      <c r="E315" s="539"/>
      <c r="F315" s="539">
        <f>Productivity!H299</f>
        <v>0</v>
      </c>
      <c r="G315" s="539">
        <f t="shared" si="50"/>
        <v>0</v>
      </c>
      <c r="H315" s="539">
        <f t="shared" si="51"/>
        <v>0</v>
      </c>
      <c r="I315" s="539">
        <f t="shared" si="51"/>
        <v>0</v>
      </c>
      <c r="J315" s="539">
        <f t="shared" si="52"/>
        <v>0</v>
      </c>
      <c r="K315" s="53"/>
      <c r="L315" s="53"/>
      <c r="M315" s="53"/>
      <c r="N315" s="398"/>
      <c r="O315" s="398"/>
      <c r="P315" s="398"/>
      <c r="Q315" s="398"/>
      <c r="R315" s="398"/>
      <c r="S315" s="398"/>
    </row>
    <row r="316" spans="1:19" ht="13.5" thickBot="1">
      <c r="A316" s="398"/>
      <c r="B316" s="53"/>
      <c r="C316" s="53"/>
      <c r="D316" s="696" t="str">
        <f>Productivity!D223</f>
        <v>Availability &amp; Reliability</v>
      </c>
      <c r="E316" s="539"/>
      <c r="F316" s="539">
        <f>Productivity!H300</f>
        <v>3.602016555103059</v>
      </c>
      <c r="G316" s="539">
        <f t="shared" si="50"/>
        <v>18.010082775515293</v>
      </c>
      <c r="H316" s="539">
        <f t="shared" si="51"/>
        <v>0</v>
      </c>
      <c r="I316" s="539">
        <f t="shared" si="51"/>
        <v>9.9134443946606812</v>
      </c>
      <c r="J316" s="539">
        <f t="shared" si="52"/>
        <v>49.567221973303404</v>
      </c>
      <c r="K316" s="53"/>
      <c r="L316" s="53"/>
      <c r="M316" s="53"/>
      <c r="N316" s="398"/>
      <c r="O316" s="398"/>
      <c r="P316" s="398"/>
      <c r="Q316" s="398"/>
      <c r="R316" s="398"/>
      <c r="S316" s="398"/>
    </row>
    <row r="317" spans="1:19" ht="13.5" thickTop="1">
      <c r="A317" s="398"/>
      <c r="B317" s="53"/>
      <c r="C317" s="53"/>
      <c r="D317" s="38" t="str">
        <f>Productivity!D224</f>
        <v>Total</v>
      </c>
      <c r="E317" s="550">
        <f t="shared" ref="E317:J317" si="53">SUM(E311:E316)</f>
        <v>0</v>
      </c>
      <c r="F317" s="550">
        <f t="shared" si="53"/>
        <v>37.411424742342561</v>
      </c>
      <c r="G317" s="550">
        <f t="shared" si="53"/>
        <v>187.05712371171282</v>
      </c>
      <c r="H317" s="550">
        <f t="shared" si="53"/>
        <v>0</v>
      </c>
      <c r="I317" s="550">
        <f t="shared" si="53"/>
        <v>102.96345761732194</v>
      </c>
      <c r="J317" s="550">
        <f t="shared" si="53"/>
        <v>514.81728808660966</v>
      </c>
      <c r="K317" s="53"/>
      <c r="L317" s="53"/>
      <c r="M317" s="53"/>
      <c r="N317" s="398"/>
      <c r="O317" s="398"/>
      <c r="P317" s="398"/>
      <c r="Q317" s="398"/>
      <c r="R317" s="398"/>
      <c r="S317" s="398"/>
    </row>
    <row r="318" spans="1:19" ht="13.5" thickBot="1">
      <c r="A318" s="398"/>
      <c r="B318" s="53"/>
      <c r="C318" s="53"/>
      <c r="D318" s="53"/>
      <c r="E318" s="595"/>
      <c r="F318" s="595"/>
      <c r="G318" s="595"/>
      <c r="H318" s="595"/>
      <c r="I318" s="595"/>
      <c r="J318" s="595"/>
      <c r="K318" s="53"/>
      <c r="L318" s="53"/>
      <c r="M318" s="53"/>
      <c r="N318" s="398"/>
      <c r="O318" s="398"/>
      <c r="P318" s="398"/>
      <c r="Q318" s="398"/>
      <c r="R318" s="398"/>
      <c r="S318" s="398"/>
    </row>
    <row r="319" spans="1:19" ht="13.5" thickTop="1">
      <c r="A319" s="398"/>
      <c r="B319" s="53"/>
      <c r="C319" s="46"/>
      <c r="D319" s="39" t="str">
        <f>"Total "&amp;B294</f>
        <v>Total User Productivity Benefits</v>
      </c>
      <c r="E319" s="550">
        <f t="shared" ref="E319:J319" si="54">SUM(E303,E309,E317)</f>
        <v>0</v>
      </c>
      <c r="F319" s="550">
        <f t="shared" si="54"/>
        <v>80.343349507922213</v>
      </c>
      <c r="G319" s="550">
        <f t="shared" si="54"/>
        <v>401.71674753961111</v>
      </c>
      <c r="H319" s="550">
        <f t="shared" si="54"/>
        <v>0</v>
      </c>
      <c r="I319" s="550">
        <f t="shared" si="54"/>
        <v>221.12039621227865</v>
      </c>
      <c r="J319" s="550">
        <f t="shared" si="54"/>
        <v>1105.6019810613932</v>
      </c>
      <c r="K319" s="53"/>
      <c r="L319" s="53"/>
      <c r="M319" s="53"/>
      <c r="N319" s="398"/>
      <c r="O319" s="398"/>
      <c r="P319" s="398"/>
      <c r="Q319" s="398"/>
      <c r="R319" s="398"/>
      <c r="S319" s="398"/>
    </row>
    <row r="320" spans="1:19">
      <c r="A320" s="398"/>
      <c r="B320" s="53"/>
      <c r="C320" s="53"/>
      <c r="D320" s="53"/>
      <c r="E320" s="595"/>
      <c r="F320" s="595"/>
      <c r="G320" s="595"/>
      <c r="H320" s="595"/>
      <c r="I320" s="595"/>
      <c r="J320" s="595"/>
      <c r="K320" s="53"/>
      <c r="L320" s="53"/>
      <c r="M320" s="53"/>
      <c r="N320" s="398"/>
      <c r="O320" s="398"/>
      <c r="P320" s="398"/>
      <c r="Q320" s="398"/>
      <c r="R320" s="398"/>
      <c r="S320" s="398"/>
    </row>
    <row r="321" spans="1:19" s="32" customFormat="1">
      <c r="A321" s="398"/>
      <c r="B321" s="53"/>
      <c r="C321" s="53"/>
      <c r="D321" s="53"/>
      <c r="E321" s="595"/>
      <c r="F321" s="595"/>
      <c r="G321" s="595"/>
      <c r="H321" s="595"/>
      <c r="I321" s="595"/>
      <c r="J321" s="595"/>
      <c r="K321" s="53"/>
      <c r="L321" s="53"/>
      <c r="M321" s="53"/>
      <c r="N321" s="398"/>
      <c r="O321" s="398"/>
      <c r="P321" s="398"/>
      <c r="Q321" s="398"/>
      <c r="R321" s="398"/>
      <c r="S321" s="398"/>
    </row>
    <row r="322" spans="1:19" s="32" customFormat="1">
      <c r="A322" s="398"/>
      <c r="B322" s="53"/>
      <c r="C322" s="53"/>
      <c r="D322" s="53"/>
      <c r="E322" s="595"/>
      <c r="F322" s="595"/>
      <c r="G322" s="595"/>
      <c r="H322" s="595"/>
      <c r="I322" s="595"/>
      <c r="J322" s="595"/>
      <c r="K322" s="53"/>
      <c r="L322" s="53"/>
      <c r="M322" s="53"/>
      <c r="N322" s="398"/>
      <c r="O322" s="398"/>
      <c r="P322" s="398"/>
      <c r="Q322" s="398"/>
      <c r="R322" s="398"/>
      <c r="S322" s="398"/>
    </row>
    <row r="323" spans="1:19" s="32" customFormat="1">
      <c r="A323" s="398"/>
      <c r="B323" s="53"/>
      <c r="C323" s="53"/>
      <c r="D323" s="53"/>
      <c r="E323" s="595"/>
      <c r="F323" s="595"/>
      <c r="G323" s="595"/>
      <c r="H323" s="595"/>
      <c r="I323" s="595"/>
      <c r="J323" s="595"/>
      <c r="K323" s="53"/>
      <c r="L323" s="53"/>
      <c r="M323" s="53"/>
      <c r="N323" s="398"/>
      <c r="O323" s="398"/>
      <c r="P323" s="398"/>
      <c r="Q323" s="398"/>
      <c r="R323" s="398"/>
      <c r="S323" s="398"/>
    </row>
    <row r="324" spans="1:19" s="32" customFormat="1">
      <c r="A324" s="398"/>
      <c r="B324" s="53"/>
      <c r="C324" s="53"/>
      <c r="D324" s="53"/>
      <c r="E324" s="595"/>
      <c r="F324" s="595"/>
      <c r="G324" s="595"/>
      <c r="H324" s="595"/>
      <c r="I324" s="595"/>
      <c r="J324" s="595"/>
      <c r="K324" s="53"/>
      <c r="L324" s="53"/>
      <c r="M324" s="53"/>
      <c r="N324" s="398"/>
      <c r="O324" s="398"/>
      <c r="P324" s="398"/>
      <c r="Q324" s="398"/>
      <c r="R324" s="398"/>
      <c r="S324" s="398"/>
    </row>
    <row r="325" spans="1:19" s="32" customFormat="1">
      <c r="A325" s="398"/>
      <c r="B325" s="53"/>
      <c r="C325" s="53"/>
      <c r="D325" s="53"/>
      <c r="E325" s="595"/>
      <c r="F325" s="595"/>
      <c r="G325" s="595"/>
      <c r="H325" s="595"/>
      <c r="I325" s="595"/>
      <c r="J325" s="595"/>
      <c r="K325" s="53"/>
      <c r="L325" s="53"/>
      <c r="M325" s="53"/>
      <c r="N325" s="398"/>
      <c r="O325" s="398"/>
      <c r="P325" s="398"/>
      <c r="Q325" s="398"/>
      <c r="R325" s="398"/>
      <c r="S325" s="398"/>
    </row>
    <row r="326" spans="1:19" s="32" customFormat="1">
      <c r="A326" s="398"/>
      <c r="B326" s="53"/>
      <c r="C326" s="53"/>
      <c r="D326" s="53"/>
      <c r="E326" s="595"/>
      <c r="F326" s="595"/>
      <c r="G326" s="595"/>
      <c r="H326" s="595"/>
      <c r="I326" s="595"/>
      <c r="J326" s="595"/>
      <c r="K326" s="53"/>
      <c r="L326" s="53"/>
      <c r="M326" s="53"/>
      <c r="N326" s="398"/>
      <c r="O326" s="398"/>
      <c r="P326" s="398"/>
      <c r="Q326" s="398"/>
      <c r="R326" s="398"/>
      <c r="S326" s="398"/>
    </row>
    <row r="327" spans="1:19" s="32" customFormat="1">
      <c r="A327" s="398"/>
      <c r="B327" s="53"/>
      <c r="C327" s="53"/>
      <c r="D327" s="53"/>
      <c r="E327" s="595"/>
      <c r="F327" s="595"/>
      <c r="G327" s="595"/>
      <c r="H327" s="595"/>
      <c r="I327" s="595"/>
      <c r="J327" s="595"/>
      <c r="K327" s="53"/>
      <c r="L327" s="53"/>
      <c r="M327" s="53"/>
      <c r="N327" s="398"/>
      <c r="O327" s="398"/>
      <c r="P327" s="398"/>
      <c r="Q327" s="398"/>
      <c r="R327" s="398"/>
      <c r="S327" s="398"/>
    </row>
    <row r="328" spans="1:19" s="32" customFormat="1">
      <c r="A328" s="398"/>
      <c r="B328" s="53"/>
      <c r="C328" s="53"/>
      <c r="D328" s="53"/>
      <c r="E328" s="595"/>
      <c r="F328" s="595"/>
      <c r="G328" s="595"/>
      <c r="H328" s="595"/>
      <c r="I328" s="595"/>
      <c r="J328" s="595"/>
      <c r="K328" s="53"/>
      <c r="L328" s="53"/>
      <c r="M328" s="53"/>
      <c r="N328" s="398"/>
      <c r="O328" s="398"/>
      <c r="P328" s="398"/>
      <c r="Q328" s="398"/>
      <c r="R328" s="398"/>
      <c r="S328" s="398"/>
    </row>
    <row r="329" spans="1:19" s="32" customFormat="1">
      <c r="A329" s="398"/>
      <c r="B329" s="53"/>
      <c r="C329" s="53"/>
      <c r="D329" s="53"/>
      <c r="E329" s="595"/>
      <c r="F329" s="595"/>
      <c r="G329" s="595"/>
      <c r="H329" s="595"/>
      <c r="I329" s="595"/>
      <c r="J329" s="595"/>
      <c r="K329" s="53"/>
      <c r="L329" s="53"/>
      <c r="M329" s="53"/>
      <c r="N329" s="398"/>
      <c r="O329" s="398"/>
      <c r="P329" s="398"/>
      <c r="Q329" s="398"/>
      <c r="R329" s="398"/>
      <c r="S329" s="398"/>
    </row>
    <row r="330" spans="1:19" s="32" customFormat="1">
      <c r="A330" s="398"/>
      <c r="B330" s="53"/>
      <c r="C330" s="53"/>
      <c r="D330" s="53"/>
      <c r="E330" s="595"/>
      <c r="F330" s="595"/>
      <c r="G330" s="595"/>
      <c r="H330" s="595"/>
      <c r="I330" s="595"/>
      <c r="J330" s="595"/>
      <c r="K330" s="53"/>
      <c r="L330" s="53"/>
      <c r="M330" s="53"/>
      <c r="N330" s="398"/>
      <c r="O330" s="398"/>
      <c r="P330" s="398"/>
      <c r="Q330" s="398"/>
      <c r="R330" s="398"/>
      <c r="S330" s="398"/>
    </row>
    <row r="331" spans="1:19" s="32" customFormat="1">
      <c r="A331" s="398"/>
      <c r="B331" s="53"/>
      <c r="C331" s="53"/>
      <c r="D331" s="53"/>
      <c r="E331" s="595"/>
      <c r="F331" s="595"/>
      <c r="G331" s="595"/>
      <c r="H331" s="595"/>
      <c r="I331" s="595"/>
      <c r="J331" s="595"/>
      <c r="K331" s="53"/>
      <c r="L331" s="53"/>
      <c r="M331" s="53"/>
      <c r="N331" s="398"/>
      <c r="O331" s="398"/>
      <c r="P331" s="398"/>
      <c r="Q331" s="398"/>
      <c r="R331" s="398"/>
      <c r="S331" s="398"/>
    </row>
    <row r="332" spans="1:19" s="32" customFormat="1">
      <c r="A332" s="398"/>
      <c r="B332" s="53"/>
      <c r="C332" s="53"/>
      <c r="D332" s="53"/>
      <c r="E332" s="595"/>
      <c r="F332" s="595"/>
      <c r="G332" s="595"/>
      <c r="H332" s="595"/>
      <c r="I332" s="595"/>
      <c r="J332" s="595"/>
      <c r="K332" s="53"/>
      <c r="L332" s="53"/>
      <c r="M332" s="53"/>
      <c r="N332" s="398"/>
      <c r="O332" s="398"/>
      <c r="P332" s="398"/>
      <c r="Q332" s="398"/>
      <c r="R332" s="398"/>
      <c r="S332" s="398"/>
    </row>
    <row r="333" spans="1:19" s="32" customFormat="1">
      <c r="A333" s="398"/>
      <c r="B333" s="53"/>
      <c r="C333" s="53"/>
      <c r="D333" s="53"/>
      <c r="E333" s="595"/>
      <c r="F333" s="595"/>
      <c r="G333" s="595"/>
      <c r="H333" s="595"/>
      <c r="I333" s="595"/>
      <c r="J333" s="595"/>
      <c r="K333" s="53"/>
      <c r="L333" s="53"/>
      <c r="M333" s="53"/>
      <c r="N333" s="398"/>
      <c r="O333" s="398"/>
      <c r="P333" s="398"/>
      <c r="Q333" s="398"/>
      <c r="R333" s="398"/>
      <c r="S333" s="398"/>
    </row>
    <row r="334" spans="1:19" s="32" customFormat="1">
      <c r="A334" s="398"/>
      <c r="B334" s="53"/>
      <c r="C334" s="53"/>
      <c r="D334" s="53"/>
      <c r="E334" s="595"/>
      <c r="F334" s="595"/>
      <c r="G334" s="595"/>
      <c r="H334" s="595"/>
      <c r="I334" s="595"/>
      <c r="J334" s="595"/>
      <c r="K334" s="53"/>
      <c r="L334" s="53"/>
      <c r="M334" s="53"/>
      <c r="N334" s="398"/>
      <c r="O334" s="398"/>
      <c r="P334" s="398"/>
      <c r="Q334" s="398"/>
      <c r="R334" s="398"/>
      <c r="S334" s="398"/>
    </row>
    <row r="335" spans="1:19" s="32" customFormat="1">
      <c r="A335" s="398"/>
      <c r="B335" s="53"/>
      <c r="C335" s="53"/>
      <c r="D335" s="53"/>
      <c r="E335" s="595"/>
      <c r="F335" s="595"/>
      <c r="G335" s="595"/>
      <c r="H335" s="595"/>
      <c r="I335" s="595"/>
      <c r="J335" s="595"/>
      <c r="K335" s="53"/>
      <c r="L335" s="53"/>
      <c r="M335" s="53"/>
      <c r="N335" s="398"/>
      <c r="O335" s="398"/>
      <c r="P335" s="398"/>
      <c r="Q335" s="398"/>
      <c r="R335" s="398"/>
      <c r="S335" s="398"/>
    </row>
    <row r="336" spans="1:19" s="32" customFormat="1">
      <c r="A336" s="398"/>
      <c r="B336" s="53"/>
      <c r="C336" s="53"/>
      <c r="D336" s="53"/>
      <c r="E336" s="595"/>
      <c r="F336" s="595"/>
      <c r="G336" s="595"/>
      <c r="H336" s="595"/>
      <c r="I336" s="595"/>
      <c r="J336" s="595"/>
      <c r="K336" s="53"/>
      <c r="L336" s="53"/>
      <c r="M336" s="53"/>
      <c r="N336" s="398"/>
      <c r="O336" s="398"/>
      <c r="P336" s="398"/>
      <c r="Q336" s="398"/>
      <c r="R336" s="398"/>
      <c r="S336" s="398"/>
    </row>
    <row r="337" spans="1:19" s="32" customFormat="1">
      <c r="A337" s="398"/>
      <c r="B337" s="53"/>
      <c r="C337" s="53"/>
      <c r="D337" s="53"/>
      <c r="E337" s="595"/>
      <c r="F337" s="595"/>
      <c r="G337" s="595"/>
      <c r="H337" s="595"/>
      <c r="I337" s="595"/>
      <c r="J337" s="595"/>
      <c r="K337" s="53"/>
      <c r="L337" s="53"/>
      <c r="M337" s="53"/>
      <c r="N337" s="398"/>
      <c r="O337" s="398"/>
      <c r="P337" s="398"/>
      <c r="Q337" s="398"/>
      <c r="R337" s="398"/>
      <c r="S337" s="398"/>
    </row>
    <row r="338" spans="1:19" s="32" customFormat="1">
      <c r="A338" s="398"/>
      <c r="B338" s="53"/>
      <c r="C338" s="53"/>
      <c r="D338" s="53"/>
      <c r="E338" s="595"/>
      <c r="F338" s="595"/>
      <c r="G338" s="595"/>
      <c r="H338" s="595"/>
      <c r="I338" s="595"/>
      <c r="J338" s="595"/>
      <c r="K338" s="53"/>
      <c r="L338" s="53"/>
      <c r="M338" s="53"/>
      <c r="N338" s="398"/>
      <c r="O338" s="398"/>
      <c r="P338" s="398"/>
      <c r="Q338" s="398"/>
      <c r="R338" s="398"/>
      <c r="S338" s="398"/>
    </row>
    <row r="339" spans="1:19" s="32" customFormat="1">
      <c r="A339" s="398"/>
      <c r="B339" s="53"/>
      <c r="C339" s="53"/>
      <c r="D339" s="53"/>
      <c r="E339" s="595"/>
      <c r="F339" s="595"/>
      <c r="G339" s="595"/>
      <c r="H339" s="595"/>
      <c r="I339" s="595"/>
      <c r="J339" s="595"/>
      <c r="K339" s="53"/>
      <c r="L339" s="53"/>
      <c r="M339" s="53"/>
      <c r="N339" s="398"/>
      <c r="O339" s="398"/>
      <c r="P339" s="398"/>
      <c r="Q339" s="398"/>
      <c r="R339" s="398"/>
      <c r="S339" s="398"/>
    </row>
    <row r="340" spans="1:19" s="32" customFormat="1">
      <c r="A340" s="398"/>
      <c r="B340" s="53"/>
      <c r="C340" s="53"/>
      <c r="D340" s="53"/>
      <c r="E340" s="595"/>
      <c r="F340" s="595"/>
      <c r="G340" s="595"/>
      <c r="H340" s="595"/>
      <c r="I340" s="595"/>
      <c r="J340" s="595"/>
      <c r="K340" s="53"/>
      <c r="L340" s="53"/>
      <c r="M340" s="53"/>
      <c r="N340" s="398"/>
      <c r="O340" s="398"/>
      <c r="P340" s="398"/>
      <c r="Q340" s="398"/>
      <c r="R340" s="398"/>
      <c r="S340" s="398"/>
    </row>
    <row r="341" spans="1:19" s="32" customFormat="1">
      <c r="A341" s="398"/>
      <c r="B341" s="53"/>
      <c r="C341" s="53"/>
      <c r="D341" s="53"/>
      <c r="E341" s="595"/>
      <c r="F341" s="595"/>
      <c r="G341" s="595"/>
      <c r="H341" s="595"/>
      <c r="I341" s="595"/>
      <c r="J341" s="595"/>
      <c r="K341" s="53"/>
      <c r="L341" s="53"/>
      <c r="M341" s="53"/>
      <c r="N341" s="398"/>
      <c r="O341" s="398"/>
      <c r="P341" s="398"/>
      <c r="Q341" s="398"/>
      <c r="R341" s="398"/>
      <c r="S341" s="398"/>
    </row>
    <row r="342" spans="1:19" s="32" customFormat="1">
      <c r="A342" s="398"/>
      <c r="B342" s="53"/>
      <c r="C342" s="53"/>
      <c r="D342" s="53"/>
      <c r="E342" s="595"/>
      <c r="F342" s="595"/>
      <c r="G342" s="595"/>
      <c r="H342" s="595"/>
      <c r="I342" s="595"/>
      <c r="J342" s="595"/>
      <c r="K342" s="53"/>
      <c r="L342" s="53"/>
      <c r="M342" s="53"/>
      <c r="N342" s="398"/>
      <c r="O342" s="398"/>
      <c r="P342" s="398"/>
      <c r="Q342" s="398"/>
      <c r="R342" s="398"/>
      <c r="S342" s="398"/>
    </row>
    <row r="343" spans="1:19" ht="15">
      <c r="A343" s="398"/>
      <c r="B343" s="672" t="s">
        <v>809</v>
      </c>
      <c r="C343" s="672"/>
      <c r="D343" s="53"/>
      <c r="E343" s="595"/>
      <c r="F343" s="595"/>
      <c r="G343" s="595"/>
      <c r="H343" s="595"/>
      <c r="I343" s="595"/>
      <c r="J343" s="595"/>
      <c r="K343" s="53"/>
      <c r="L343" s="53"/>
      <c r="M343" s="53"/>
      <c r="N343" s="398"/>
      <c r="O343" s="398"/>
      <c r="P343" s="398"/>
      <c r="Q343" s="398"/>
      <c r="R343" s="398"/>
      <c r="S343" s="398"/>
    </row>
    <row r="344" spans="1:19" s="32" customFormat="1" ht="12.75" customHeight="1">
      <c r="A344" s="398"/>
      <c r="B344" s="53"/>
      <c r="C344" s="53"/>
      <c r="D344" s="53"/>
      <c r="E344" s="680" t="str">
        <f>$E$75</f>
        <v>Benefits (per User)</v>
      </c>
      <c r="F344" s="690"/>
      <c r="G344" s="679"/>
      <c r="H344" s="835" t="str">
        <f>$H$75</f>
        <v>Benefits (000)</v>
      </c>
      <c r="I344" s="835"/>
      <c r="J344" s="835"/>
      <c r="K344" s="53"/>
      <c r="L344" s="53"/>
      <c r="M344" s="53"/>
      <c r="N344" s="398"/>
      <c r="O344" s="398"/>
      <c r="P344" s="398"/>
      <c r="Q344" s="398"/>
      <c r="R344" s="398"/>
      <c r="S344" s="398"/>
    </row>
    <row r="345" spans="1:19" s="32" customFormat="1" ht="25.5">
      <c r="A345" s="398"/>
      <c r="B345" s="53"/>
      <c r="C345" s="53"/>
      <c r="D345" s="53"/>
      <c r="E345" s="671" t="str">
        <f>$E$20</f>
        <v>One-Time</v>
      </c>
      <c r="F345" s="671" t="str">
        <f>$F$20</f>
        <v>Annual Recurring</v>
      </c>
      <c r="G345" s="671" t="str">
        <f>$G$20</f>
        <v>Project Total</v>
      </c>
      <c r="H345" s="671" t="str">
        <f>$E$20</f>
        <v>One-Time</v>
      </c>
      <c r="I345" s="671" t="str">
        <f>$F$20</f>
        <v>Annual Recurring</v>
      </c>
      <c r="J345" s="671" t="str">
        <f>$G$20</f>
        <v>Project Total</v>
      </c>
      <c r="K345" s="53"/>
      <c r="L345" s="53"/>
      <c r="M345" s="53"/>
      <c r="N345" s="398"/>
      <c r="O345" s="398"/>
      <c r="P345" s="398"/>
      <c r="Q345" s="398"/>
      <c r="R345" s="398"/>
      <c r="S345" s="398"/>
    </row>
    <row r="346" spans="1:19">
      <c r="A346" s="398"/>
      <c r="B346" s="53"/>
      <c r="C346" s="53"/>
      <c r="D346" s="696" t="str">
        <f>Revenue!B21</f>
        <v>Improved Sales Effectiveness</v>
      </c>
      <c r="E346" s="539"/>
      <c r="F346" s="539">
        <f>Revenue!H21</f>
        <v>0</v>
      </c>
      <c r="G346" s="539">
        <f t="shared" ref="G346:G352" si="55">E346+F346*ProjectTtlMultBen</f>
        <v>0</v>
      </c>
      <c r="H346" s="539">
        <f t="shared" ref="H346:I352" si="56">E346*PCUsers/1000</f>
        <v>0</v>
      </c>
      <c r="I346" s="539">
        <f t="shared" si="56"/>
        <v>0</v>
      </c>
      <c r="J346" s="539">
        <f t="shared" ref="J346:J352" si="57">H346+I346*ProjectTtlMultBen</f>
        <v>0</v>
      </c>
      <c r="K346" s="53"/>
      <c r="L346" s="53"/>
      <c r="M346" s="53"/>
      <c r="N346" s="398"/>
      <c r="O346" s="398"/>
      <c r="P346" s="398"/>
      <c r="Q346" s="398"/>
      <c r="R346" s="398"/>
      <c r="S346" s="398"/>
    </row>
    <row r="347" spans="1:19">
      <c r="A347" s="398"/>
      <c r="B347" s="53"/>
      <c r="C347" s="53"/>
      <c r="D347" s="696" t="str">
        <f>Revenue!B22</f>
        <v>Improved Marketing Effectiveness</v>
      </c>
      <c r="E347" s="539"/>
      <c r="F347" s="539">
        <f>Revenue!H22</f>
        <v>0</v>
      </c>
      <c r="G347" s="539">
        <f t="shared" si="55"/>
        <v>0</v>
      </c>
      <c r="H347" s="539">
        <f t="shared" si="56"/>
        <v>0</v>
      </c>
      <c r="I347" s="539">
        <f t="shared" si="56"/>
        <v>0</v>
      </c>
      <c r="J347" s="539">
        <f t="shared" si="57"/>
        <v>0</v>
      </c>
      <c r="K347" s="53"/>
      <c r="L347" s="53"/>
      <c r="M347" s="53"/>
      <c r="N347" s="398"/>
      <c r="O347" s="398"/>
      <c r="P347" s="398"/>
      <c r="Q347" s="398"/>
      <c r="R347" s="398"/>
      <c r="S347" s="398"/>
    </row>
    <row r="348" spans="1:19">
      <c r="A348" s="398"/>
      <c r="B348" s="53"/>
      <c r="C348" s="53"/>
      <c r="D348" s="696" t="str">
        <f>Revenue!B23</f>
        <v>Improved Customer Service</v>
      </c>
      <c r="E348" s="539"/>
      <c r="F348" s="539">
        <f>Revenue!H23</f>
        <v>0</v>
      </c>
      <c r="G348" s="539">
        <f t="shared" si="55"/>
        <v>0</v>
      </c>
      <c r="H348" s="539">
        <f t="shared" si="56"/>
        <v>0</v>
      </c>
      <c r="I348" s="539">
        <f t="shared" si="56"/>
        <v>0</v>
      </c>
      <c r="J348" s="539">
        <f t="shared" si="57"/>
        <v>0</v>
      </c>
      <c r="K348" s="53"/>
      <c r="L348" s="53"/>
      <c r="M348" s="53"/>
      <c r="N348" s="398"/>
      <c r="O348" s="398"/>
      <c r="P348" s="398"/>
      <c r="Q348" s="398"/>
      <c r="R348" s="398"/>
      <c r="S348" s="398"/>
    </row>
    <row r="349" spans="1:19">
      <c r="A349" s="398"/>
      <c r="B349" s="53"/>
      <c r="C349" s="53"/>
      <c r="D349" s="696" t="str">
        <f>Revenue!B24</f>
        <v>New/Expanded Channels/Geographies</v>
      </c>
      <c r="E349" s="539"/>
      <c r="F349" s="539">
        <f>Revenue!H24</f>
        <v>0</v>
      </c>
      <c r="G349" s="539">
        <f t="shared" si="55"/>
        <v>0</v>
      </c>
      <c r="H349" s="539">
        <f t="shared" si="56"/>
        <v>0</v>
      </c>
      <c r="I349" s="539">
        <f t="shared" si="56"/>
        <v>0</v>
      </c>
      <c r="J349" s="539">
        <f t="shared" si="57"/>
        <v>0</v>
      </c>
      <c r="K349" s="53"/>
      <c r="L349" s="53"/>
      <c r="M349" s="53"/>
      <c r="N349" s="398"/>
      <c r="O349" s="398"/>
      <c r="P349" s="398"/>
      <c r="Q349" s="398"/>
      <c r="R349" s="398"/>
      <c r="S349" s="398"/>
    </row>
    <row r="350" spans="1:19">
      <c r="A350" s="398"/>
      <c r="B350" s="53"/>
      <c r="C350" s="53"/>
      <c r="D350" s="696" t="str">
        <f>Revenue!B25</f>
        <v>New/Enhanced Products/Services</v>
      </c>
      <c r="E350" s="539"/>
      <c r="F350" s="539">
        <f>Revenue!H25</f>
        <v>0</v>
      </c>
      <c r="G350" s="539">
        <f t="shared" si="55"/>
        <v>0</v>
      </c>
      <c r="H350" s="539">
        <f t="shared" si="56"/>
        <v>0</v>
      </c>
      <c r="I350" s="539">
        <f t="shared" si="56"/>
        <v>0</v>
      </c>
      <c r="J350" s="539">
        <f t="shared" si="57"/>
        <v>0</v>
      </c>
      <c r="K350" s="53"/>
      <c r="L350" s="53"/>
      <c r="M350" s="53"/>
      <c r="N350" s="398"/>
      <c r="O350" s="398"/>
      <c r="P350" s="398"/>
      <c r="Q350" s="398"/>
      <c r="R350" s="398"/>
      <c r="S350" s="398"/>
    </row>
    <row r="351" spans="1:19" ht="25.5">
      <c r="A351" s="398"/>
      <c r="B351" s="53"/>
      <c r="C351" s="53"/>
      <c r="D351" s="696" t="str">
        <f>Revenue!B26</f>
        <v>Improved Product Availability (fill rate, up-time)</v>
      </c>
      <c r="E351" s="539"/>
      <c r="F351" s="539">
        <f>Revenue!H26</f>
        <v>27.641377545136631</v>
      </c>
      <c r="G351" s="539">
        <f t="shared" si="55"/>
        <v>138.20688772568315</v>
      </c>
      <c r="H351" s="539">
        <f t="shared" si="56"/>
        <v>0</v>
      </c>
      <c r="I351" s="539">
        <f t="shared" si="56"/>
        <v>76.074403072168593</v>
      </c>
      <c r="J351" s="539">
        <f t="shared" si="57"/>
        <v>380.37201536084297</v>
      </c>
      <c r="K351" s="53"/>
      <c r="L351" s="53"/>
      <c r="M351" s="53"/>
      <c r="N351" s="398"/>
      <c r="O351" s="398"/>
      <c r="P351" s="398"/>
      <c r="Q351" s="398"/>
      <c r="R351" s="398"/>
      <c r="S351" s="398"/>
    </row>
    <row r="352" spans="1:19" ht="13.5" thickBot="1">
      <c r="A352" s="398"/>
      <c r="B352" s="53"/>
      <c r="C352" s="53"/>
      <c r="D352" s="695" t="str">
        <f>Revenue!B27</f>
        <v>Other</v>
      </c>
      <c r="E352" s="539"/>
      <c r="F352" s="539">
        <f>Revenue!H27</f>
        <v>0</v>
      </c>
      <c r="G352" s="539">
        <f t="shared" si="55"/>
        <v>0</v>
      </c>
      <c r="H352" s="539">
        <f t="shared" si="56"/>
        <v>0</v>
      </c>
      <c r="I352" s="539">
        <f t="shared" si="56"/>
        <v>0</v>
      </c>
      <c r="J352" s="539">
        <f t="shared" si="57"/>
        <v>0</v>
      </c>
      <c r="K352" s="53"/>
      <c r="L352" s="53"/>
      <c r="M352" s="53"/>
      <c r="N352" s="398"/>
      <c r="O352" s="398"/>
      <c r="P352" s="398"/>
      <c r="Q352" s="398"/>
      <c r="R352" s="398"/>
      <c r="S352" s="398"/>
    </row>
    <row r="353" spans="1:19" ht="13.5" thickTop="1">
      <c r="A353" s="398"/>
      <c r="B353" s="53"/>
      <c r="C353" s="53"/>
      <c r="D353" s="38" t="s">
        <v>259</v>
      </c>
      <c r="E353" s="560">
        <f t="shared" ref="E353:J353" si="58">SUM(E346:E352)</f>
        <v>0</v>
      </c>
      <c r="F353" s="550">
        <f t="shared" si="58"/>
        <v>27.641377545136631</v>
      </c>
      <c r="G353" s="550">
        <f t="shared" si="58"/>
        <v>138.20688772568315</v>
      </c>
      <c r="H353" s="550">
        <f t="shared" si="58"/>
        <v>0</v>
      </c>
      <c r="I353" s="550">
        <f t="shared" si="58"/>
        <v>76.074403072168593</v>
      </c>
      <c r="J353" s="550">
        <f t="shared" si="58"/>
        <v>380.37201536084297</v>
      </c>
      <c r="K353" s="53"/>
      <c r="L353" s="53"/>
      <c r="M353" s="53"/>
      <c r="N353" s="398"/>
      <c r="O353" s="398"/>
      <c r="P353" s="398"/>
      <c r="Q353" s="398"/>
      <c r="R353" s="398"/>
      <c r="S353" s="398"/>
    </row>
    <row r="354" spans="1:19" s="32" customFormat="1">
      <c r="A354" s="398"/>
      <c r="B354" s="53"/>
      <c r="C354" s="53"/>
      <c r="D354" s="53"/>
      <c r="E354" s="53"/>
      <c r="F354" s="53"/>
      <c r="G354" s="53"/>
      <c r="H354" s="53"/>
      <c r="I354" s="53"/>
      <c r="J354" s="53"/>
      <c r="K354" s="53"/>
      <c r="L354" s="53"/>
      <c r="M354" s="53"/>
      <c r="N354" s="398"/>
      <c r="O354" s="398"/>
      <c r="P354" s="398"/>
      <c r="Q354" s="398"/>
      <c r="R354" s="398"/>
      <c r="S354" s="398"/>
    </row>
    <row r="355" spans="1:19" s="32" customFormat="1">
      <c r="A355" s="398"/>
      <c r="B355" s="53"/>
      <c r="C355" s="53"/>
      <c r="D355" s="53"/>
      <c r="E355" s="53"/>
      <c r="F355" s="53"/>
      <c r="G355" s="53"/>
      <c r="H355" s="53"/>
      <c r="I355" s="53"/>
      <c r="J355" s="53"/>
      <c r="K355" s="53"/>
      <c r="L355" s="53"/>
      <c r="M355" s="53"/>
      <c r="N355" s="398"/>
      <c r="O355" s="398"/>
      <c r="P355" s="398"/>
      <c r="Q355" s="398"/>
      <c r="R355" s="398"/>
      <c r="S355" s="398"/>
    </row>
    <row r="356" spans="1:19" s="32" customFormat="1">
      <c r="A356" s="398"/>
      <c r="B356" s="53"/>
      <c r="C356" s="53"/>
      <c r="D356" s="53"/>
      <c r="E356" s="53"/>
      <c r="F356" s="53"/>
      <c r="G356" s="53"/>
      <c r="H356" s="53"/>
      <c r="I356" s="53"/>
      <c r="J356" s="53"/>
      <c r="K356" s="53"/>
      <c r="L356" s="53"/>
      <c r="M356" s="53"/>
      <c r="N356" s="398"/>
      <c r="O356" s="398"/>
      <c r="P356" s="398"/>
      <c r="Q356" s="398"/>
      <c r="R356" s="398"/>
      <c r="S356" s="398"/>
    </row>
    <row r="357" spans="1:19" s="32" customFormat="1">
      <c r="A357" s="398"/>
      <c r="B357" s="53"/>
      <c r="C357" s="53"/>
      <c r="D357" s="53"/>
      <c r="E357" s="53"/>
      <c r="F357" s="53"/>
      <c r="G357" s="53"/>
      <c r="H357" s="53"/>
      <c r="I357" s="53"/>
      <c r="J357" s="53"/>
      <c r="K357" s="53"/>
      <c r="L357" s="53"/>
      <c r="M357" s="53"/>
      <c r="N357" s="398"/>
      <c r="O357" s="398"/>
      <c r="P357" s="398"/>
      <c r="Q357" s="398"/>
      <c r="R357" s="398"/>
      <c r="S357" s="398"/>
    </row>
    <row r="358" spans="1:19" s="32" customFormat="1">
      <c r="A358" s="398"/>
      <c r="B358" s="53"/>
      <c r="C358" s="53"/>
      <c r="D358" s="53"/>
      <c r="E358" s="53"/>
      <c r="F358" s="53"/>
      <c r="G358" s="53"/>
      <c r="H358" s="53"/>
      <c r="I358" s="53"/>
      <c r="J358" s="53"/>
      <c r="K358" s="53"/>
      <c r="L358" s="53"/>
      <c r="M358" s="53"/>
      <c r="N358" s="398"/>
      <c r="O358" s="398"/>
      <c r="P358" s="398"/>
      <c r="Q358" s="398"/>
      <c r="R358" s="398"/>
      <c r="S358" s="398"/>
    </row>
    <row r="359" spans="1:19" s="32" customFormat="1">
      <c r="A359" s="398"/>
      <c r="B359" s="53"/>
      <c r="C359" s="53"/>
      <c r="D359" s="53"/>
      <c r="E359" s="53"/>
      <c r="F359" s="53"/>
      <c r="G359" s="53"/>
      <c r="H359" s="53"/>
      <c r="I359" s="53"/>
      <c r="J359" s="53"/>
      <c r="K359" s="53"/>
      <c r="L359" s="53"/>
      <c r="M359" s="53"/>
      <c r="N359" s="398"/>
      <c r="O359" s="398"/>
      <c r="P359" s="398"/>
      <c r="Q359" s="398"/>
      <c r="R359" s="398"/>
      <c r="S359" s="398"/>
    </row>
    <row r="360" spans="1:19" s="32" customFormat="1">
      <c r="A360" s="398"/>
      <c r="B360" s="53"/>
      <c r="C360" s="53"/>
      <c r="D360" s="53"/>
      <c r="E360" s="53"/>
      <c r="F360" s="53"/>
      <c r="G360" s="53"/>
      <c r="H360" s="53"/>
      <c r="I360" s="53"/>
      <c r="J360" s="53"/>
      <c r="K360" s="53"/>
      <c r="L360" s="53"/>
      <c r="M360" s="53"/>
      <c r="N360" s="398"/>
      <c r="O360" s="398"/>
      <c r="P360" s="398"/>
      <c r="Q360" s="398"/>
      <c r="R360" s="398"/>
      <c r="S360" s="398"/>
    </row>
    <row r="361" spans="1:19" s="32" customFormat="1">
      <c r="A361" s="398"/>
      <c r="B361" s="53"/>
      <c r="C361" s="53"/>
      <c r="D361" s="53"/>
      <c r="E361" s="53"/>
      <c r="F361" s="53"/>
      <c r="G361" s="53"/>
      <c r="H361" s="53"/>
      <c r="I361" s="53"/>
      <c r="J361" s="53"/>
      <c r="K361" s="53"/>
      <c r="L361" s="53"/>
      <c r="M361" s="53"/>
      <c r="N361" s="398"/>
      <c r="O361" s="398"/>
      <c r="P361" s="398"/>
      <c r="Q361" s="398"/>
      <c r="R361" s="398"/>
      <c r="S361" s="398"/>
    </row>
    <row r="362" spans="1:19" s="32" customFormat="1">
      <c r="A362" s="398"/>
      <c r="B362" s="53"/>
      <c r="C362" s="53"/>
      <c r="D362" s="53"/>
      <c r="E362" s="53"/>
      <c r="F362" s="53"/>
      <c r="G362" s="53"/>
      <c r="H362" s="53"/>
      <c r="I362" s="53"/>
      <c r="J362" s="53"/>
      <c r="K362" s="53"/>
      <c r="L362" s="53"/>
      <c r="M362" s="53"/>
      <c r="N362" s="398"/>
      <c r="O362" s="398"/>
      <c r="P362" s="398"/>
      <c r="Q362" s="398"/>
      <c r="R362" s="398"/>
      <c r="S362" s="398"/>
    </row>
    <row r="363" spans="1:19" s="32" customFormat="1">
      <c r="A363" s="398"/>
      <c r="B363" s="53"/>
      <c r="C363" s="53"/>
      <c r="D363" s="53"/>
      <c r="E363" s="53"/>
      <c r="F363" s="53"/>
      <c r="G363" s="53"/>
      <c r="H363" s="53"/>
      <c r="I363" s="53"/>
      <c r="J363" s="53"/>
      <c r="K363" s="53"/>
      <c r="L363" s="53"/>
      <c r="M363" s="53"/>
      <c r="N363" s="398"/>
      <c r="O363" s="398"/>
      <c r="P363" s="398"/>
      <c r="Q363" s="398"/>
      <c r="R363" s="398"/>
      <c r="S363" s="398"/>
    </row>
    <row r="364" spans="1:19" s="32" customFormat="1">
      <c r="A364" s="398"/>
      <c r="B364" s="53"/>
      <c r="C364" s="53"/>
      <c r="D364" s="53"/>
      <c r="E364" s="53"/>
      <c r="F364" s="53"/>
      <c r="G364" s="53"/>
      <c r="H364" s="53"/>
      <c r="I364" s="53"/>
      <c r="J364" s="53"/>
      <c r="K364" s="53"/>
      <c r="L364" s="53"/>
      <c r="M364" s="53"/>
      <c r="N364" s="398"/>
      <c r="O364" s="398"/>
      <c r="P364" s="398"/>
      <c r="Q364" s="398"/>
      <c r="R364" s="398"/>
      <c r="S364" s="398"/>
    </row>
    <row r="365" spans="1:19" s="32" customFormat="1">
      <c r="A365" s="398"/>
      <c r="B365" s="53"/>
      <c r="C365" s="53"/>
      <c r="D365" s="53"/>
      <c r="E365" s="53"/>
      <c r="F365" s="53"/>
      <c r="G365" s="53"/>
      <c r="H365" s="53"/>
      <c r="I365" s="53"/>
      <c r="J365" s="53"/>
      <c r="K365" s="53"/>
      <c r="L365" s="53"/>
      <c r="M365" s="53"/>
      <c r="N365" s="398"/>
      <c r="O365" s="398"/>
      <c r="P365" s="398"/>
      <c r="Q365" s="398"/>
      <c r="R365" s="398"/>
      <c r="S365" s="398"/>
    </row>
    <row r="366" spans="1:19" s="32" customFormat="1">
      <c r="A366" s="398"/>
      <c r="B366" s="53"/>
      <c r="C366" s="53"/>
      <c r="D366" s="53"/>
      <c r="E366" s="53"/>
      <c r="F366" s="53"/>
      <c r="G366" s="53"/>
      <c r="H366" s="53"/>
      <c r="I366" s="53"/>
      <c r="J366" s="53"/>
      <c r="K366" s="53"/>
      <c r="L366" s="53"/>
      <c r="M366" s="53"/>
      <c r="N366" s="398"/>
      <c r="O366" s="398"/>
      <c r="P366" s="398"/>
      <c r="Q366" s="398"/>
      <c r="R366" s="398"/>
      <c r="S366" s="398"/>
    </row>
    <row r="367" spans="1:19" s="32" customFormat="1">
      <c r="A367" s="398"/>
      <c r="B367" s="53"/>
      <c r="C367" s="53"/>
      <c r="D367" s="53"/>
      <c r="E367" s="53"/>
      <c r="F367" s="53"/>
      <c r="G367" s="53"/>
      <c r="H367" s="53"/>
      <c r="I367" s="53"/>
      <c r="J367" s="53"/>
      <c r="K367" s="53"/>
      <c r="L367" s="53"/>
      <c r="M367" s="53"/>
      <c r="N367" s="398"/>
      <c r="O367" s="398"/>
      <c r="P367" s="398"/>
      <c r="Q367" s="398"/>
      <c r="R367" s="398"/>
      <c r="S367" s="398"/>
    </row>
    <row r="368" spans="1:19" s="32" customFormat="1">
      <c r="A368" s="398"/>
      <c r="B368" s="53"/>
      <c r="C368" s="53"/>
      <c r="D368" s="53"/>
      <c r="E368" s="53"/>
      <c r="F368" s="53"/>
      <c r="G368" s="53"/>
      <c r="H368" s="53"/>
      <c r="I368" s="53"/>
      <c r="J368" s="53"/>
      <c r="K368" s="53"/>
      <c r="L368" s="53"/>
      <c r="M368" s="53"/>
      <c r="N368" s="398"/>
      <c r="O368" s="398"/>
      <c r="P368" s="398"/>
      <c r="Q368" s="398"/>
      <c r="R368" s="398"/>
      <c r="S368" s="398"/>
    </row>
    <row r="369" spans="1:19" s="32" customFormat="1">
      <c r="A369" s="398"/>
      <c r="B369" s="53"/>
      <c r="C369" s="53"/>
      <c r="D369" s="53"/>
      <c r="E369" s="53"/>
      <c r="F369" s="53"/>
      <c r="G369" s="53"/>
      <c r="H369" s="53"/>
      <c r="I369" s="53"/>
      <c r="J369" s="53"/>
      <c r="K369" s="53"/>
      <c r="L369" s="53"/>
      <c r="M369" s="53"/>
      <c r="N369" s="398"/>
      <c r="O369" s="398"/>
      <c r="P369" s="398"/>
      <c r="Q369" s="398"/>
      <c r="R369" s="398"/>
      <c r="S369" s="398"/>
    </row>
    <row r="370" spans="1:19" s="32" customFormat="1">
      <c r="A370" s="398"/>
      <c r="B370" s="53"/>
      <c r="C370" s="53"/>
      <c r="D370" s="53"/>
      <c r="E370" s="53"/>
      <c r="F370" s="53"/>
      <c r="G370" s="53"/>
      <c r="H370" s="53"/>
      <c r="I370" s="53"/>
      <c r="J370" s="53"/>
      <c r="K370" s="53"/>
      <c r="L370" s="53"/>
      <c r="M370" s="53"/>
      <c r="N370" s="398"/>
      <c r="O370" s="398"/>
      <c r="P370" s="398"/>
      <c r="Q370" s="398"/>
      <c r="R370" s="398"/>
      <c r="S370" s="398"/>
    </row>
    <row r="371" spans="1:19" s="32" customFormat="1">
      <c r="A371" s="398"/>
      <c r="B371" s="53"/>
      <c r="C371" s="53"/>
      <c r="D371" s="53"/>
      <c r="E371" s="53"/>
      <c r="F371" s="53"/>
      <c r="G371" s="53"/>
      <c r="H371" s="53"/>
      <c r="I371" s="53"/>
      <c r="J371" s="53"/>
      <c r="K371" s="53"/>
      <c r="L371" s="53"/>
      <c r="M371" s="53"/>
      <c r="N371" s="398"/>
      <c r="O371" s="398"/>
      <c r="P371" s="398"/>
      <c r="Q371" s="398"/>
      <c r="R371" s="398"/>
      <c r="S371" s="398"/>
    </row>
    <row r="372" spans="1:19" s="32" customFormat="1">
      <c r="A372" s="398"/>
      <c r="B372" s="53"/>
      <c r="C372" s="53"/>
      <c r="D372" s="53"/>
      <c r="E372" s="53"/>
      <c r="F372" s="53"/>
      <c r="G372" s="53"/>
      <c r="H372" s="53"/>
      <c r="I372" s="53"/>
      <c r="J372" s="53"/>
      <c r="K372" s="53"/>
      <c r="L372" s="53"/>
      <c r="M372" s="53"/>
      <c r="N372" s="398"/>
      <c r="O372" s="398"/>
      <c r="P372" s="398"/>
      <c r="Q372" s="398"/>
      <c r="R372" s="398"/>
      <c r="S372" s="398"/>
    </row>
    <row r="373" spans="1:19" s="32" customFormat="1">
      <c r="A373" s="398"/>
      <c r="B373" s="53"/>
      <c r="C373" s="53"/>
      <c r="D373" s="53"/>
      <c r="E373" s="53"/>
      <c r="F373" s="53"/>
      <c r="G373" s="53"/>
      <c r="H373" s="53"/>
      <c r="I373" s="53"/>
      <c r="J373" s="53"/>
      <c r="K373" s="53"/>
      <c r="L373" s="53"/>
      <c r="M373" s="53"/>
      <c r="N373" s="398"/>
      <c r="O373" s="398"/>
      <c r="P373" s="398"/>
      <c r="Q373" s="398"/>
      <c r="R373" s="398"/>
      <c r="S373" s="398"/>
    </row>
    <row r="374" spans="1:19" s="32" customFormat="1">
      <c r="A374" s="398"/>
      <c r="B374" s="53"/>
      <c r="C374" s="53"/>
      <c r="D374" s="53"/>
      <c r="E374" s="53"/>
      <c r="F374" s="53"/>
      <c r="G374" s="53"/>
      <c r="H374" s="53"/>
      <c r="I374" s="53"/>
      <c r="J374" s="53"/>
      <c r="K374" s="53"/>
      <c r="L374" s="53"/>
      <c r="M374" s="53"/>
      <c r="N374" s="398"/>
      <c r="O374" s="398"/>
      <c r="P374" s="398"/>
      <c r="Q374" s="398"/>
      <c r="R374" s="398"/>
      <c r="S374" s="398"/>
    </row>
    <row r="375" spans="1:19" s="32" customFormat="1">
      <c r="A375" s="398"/>
      <c r="B375" s="53"/>
      <c r="C375" s="53"/>
      <c r="D375" s="53"/>
      <c r="E375" s="53"/>
      <c r="F375" s="53"/>
      <c r="G375" s="53"/>
      <c r="H375" s="53"/>
      <c r="I375" s="53"/>
      <c r="J375" s="53"/>
      <c r="K375" s="53"/>
      <c r="L375" s="53"/>
      <c r="M375" s="53"/>
      <c r="N375" s="398"/>
      <c r="O375" s="398"/>
      <c r="P375" s="398"/>
      <c r="Q375" s="398"/>
      <c r="R375" s="398"/>
      <c r="S375" s="398"/>
    </row>
    <row r="376" spans="1:19" s="32" customFormat="1">
      <c r="A376" s="398"/>
      <c r="B376" s="53"/>
      <c r="C376" s="53"/>
      <c r="D376" s="53"/>
      <c r="E376" s="53"/>
      <c r="F376" s="53"/>
      <c r="G376" s="53"/>
      <c r="H376" s="53"/>
      <c r="I376" s="53"/>
      <c r="J376" s="53"/>
      <c r="K376" s="53"/>
      <c r="L376" s="53"/>
      <c r="M376" s="53"/>
      <c r="N376" s="398"/>
      <c r="O376" s="398"/>
      <c r="P376" s="398"/>
      <c r="Q376" s="398"/>
      <c r="R376" s="398"/>
      <c r="S376" s="398"/>
    </row>
    <row r="377" spans="1:19" s="32" customFormat="1" ht="6" customHeight="1">
      <c r="A377" s="398"/>
      <c r="B377" s="398"/>
      <c r="C377" s="398"/>
      <c r="D377" s="398"/>
      <c r="E377" s="398"/>
      <c r="F377" s="398"/>
      <c r="G377" s="398"/>
      <c r="H377" s="398"/>
      <c r="I377" s="398"/>
      <c r="J377" s="398"/>
      <c r="K377" s="398"/>
      <c r="L377" s="398"/>
      <c r="M377" s="398"/>
      <c r="N377" s="398"/>
      <c r="O377" s="398"/>
      <c r="P377" s="398"/>
      <c r="Q377" s="398"/>
      <c r="R377" s="398"/>
      <c r="S377" s="398"/>
    </row>
    <row r="378" spans="1:19" ht="22.5">
      <c r="A378" s="3" t="s">
        <v>810</v>
      </c>
      <c r="B378" s="398"/>
      <c r="C378" s="6"/>
      <c r="D378" s="398"/>
      <c r="E378" s="398"/>
      <c r="F378" s="398"/>
      <c r="G378" s="398"/>
      <c r="H378" s="398"/>
      <c r="I378" s="398"/>
      <c r="J378" s="398"/>
      <c r="K378" s="398"/>
      <c r="L378" s="398"/>
      <c r="M378" s="398"/>
      <c r="N378" s="398"/>
      <c r="O378" s="398"/>
      <c r="P378" s="398"/>
      <c r="Q378" s="398"/>
      <c r="R378" s="398"/>
      <c r="S378" s="398"/>
    </row>
    <row r="379" spans="1:19" s="105" customFormat="1" ht="60.75" customHeight="1">
      <c r="A379" s="53"/>
      <c r="B379" s="703"/>
      <c r="C379" s="797" t="s">
        <v>811</v>
      </c>
      <c r="D379" s="797"/>
      <c r="E379" s="797"/>
      <c r="F379" s="797"/>
      <c r="G379" s="797"/>
      <c r="H379" s="797"/>
      <c r="I379" s="797"/>
      <c r="J379" s="797"/>
      <c r="K379" s="797"/>
      <c r="L379" s="797"/>
      <c r="M379" s="703"/>
      <c r="N379" s="398"/>
      <c r="O379" s="398"/>
      <c r="P379" s="398"/>
      <c r="Q379" s="398"/>
      <c r="R379" s="398"/>
      <c r="S379" s="398"/>
    </row>
    <row r="380" spans="1:19" s="32" customFormat="1" ht="15">
      <c r="A380" s="398"/>
      <c r="B380" s="53"/>
      <c r="C380" s="672"/>
      <c r="D380" s="53"/>
      <c r="E380" s="782" t="str">
        <f>KPIs!F39</f>
        <v xml:space="preserve"> Percentile</v>
      </c>
      <c r="F380" s="789"/>
      <c r="G380" s="796"/>
      <c r="H380" s="53"/>
      <c r="I380" s="53"/>
      <c r="J380" s="53"/>
      <c r="K380" s="53"/>
      <c r="L380" s="53"/>
      <c r="M380" s="53"/>
      <c r="N380" s="398"/>
      <c r="O380" s="398"/>
      <c r="P380" s="398"/>
      <c r="Q380" s="398"/>
      <c r="R380" s="398"/>
      <c r="S380" s="398"/>
    </row>
    <row r="381" spans="1:19" s="32" customFormat="1" ht="25.5">
      <c r="A381" s="398"/>
      <c r="B381" s="53"/>
      <c r="C381" s="672"/>
      <c r="D381" s="53"/>
      <c r="E381" s="671" t="str">
        <f>KPIs!F40</f>
        <v>As-Is</v>
      </c>
      <c r="F381" s="680" t="str">
        <f>KPIs!G40</f>
        <v>To-Be</v>
      </c>
      <c r="G381" s="671" t="s">
        <v>812</v>
      </c>
      <c r="H381" s="53"/>
      <c r="I381" s="53"/>
      <c r="J381" s="53"/>
      <c r="K381" s="53"/>
      <c r="L381" s="53"/>
      <c r="M381" s="53"/>
      <c r="N381" s="398"/>
      <c r="O381" s="398"/>
      <c r="P381" s="398"/>
      <c r="Q381" s="398"/>
      <c r="R381" s="398"/>
      <c r="S381" s="398"/>
    </row>
    <row r="382" spans="1:19">
      <c r="A382" s="398"/>
      <c r="B382" s="53"/>
      <c r="C382" s="53"/>
      <c r="D382" s="696" t="str">
        <f>KPIs!B41</f>
        <v>Sales/Marketing Performance</v>
      </c>
      <c r="E382" s="149">
        <f>KPIs!F41</f>
        <v>0.3</v>
      </c>
      <c r="F382" s="149">
        <f>KPIs!G41</f>
        <v>0.3</v>
      </c>
      <c r="G382" s="157">
        <f>KPIs!H41</f>
        <v>0</v>
      </c>
      <c r="H382" s="53"/>
      <c r="I382" s="53"/>
      <c r="J382" s="53"/>
      <c r="K382" s="53"/>
      <c r="L382" s="53"/>
      <c r="M382" s="53"/>
      <c r="N382" s="398"/>
      <c r="O382" s="398"/>
      <c r="P382" s="398"/>
      <c r="Q382" s="398"/>
      <c r="R382" s="398"/>
      <c r="S382" s="398"/>
    </row>
    <row r="383" spans="1:19">
      <c r="A383" s="398"/>
      <c r="B383" s="53"/>
      <c r="C383" s="53"/>
      <c r="D383" s="696" t="str">
        <f>KPIs!B42</f>
        <v>Business Management Effectiveness</v>
      </c>
      <c r="E383" s="149">
        <f>KPIs!F42</f>
        <v>0.3</v>
      </c>
      <c r="F383" s="149">
        <f>KPIs!G42</f>
        <v>0.3</v>
      </c>
      <c r="G383" s="149">
        <f>KPIs!H42</f>
        <v>0</v>
      </c>
      <c r="H383" s="53"/>
      <c r="I383" s="53"/>
      <c r="J383" s="53"/>
      <c r="K383" s="53"/>
      <c r="L383" s="53"/>
      <c r="M383" s="53"/>
      <c r="N383" s="398"/>
      <c r="O383" s="398"/>
      <c r="P383" s="398"/>
      <c r="Q383" s="398"/>
      <c r="R383" s="398"/>
      <c r="S383" s="398"/>
    </row>
    <row r="384" spans="1:19">
      <c r="A384" s="398"/>
      <c r="B384" s="53"/>
      <c r="C384" s="53"/>
      <c r="D384" s="696" t="str">
        <f>KPIs!B43</f>
        <v>Supply/Operations Performance</v>
      </c>
      <c r="E384" s="149">
        <f>KPIs!F43</f>
        <v>0.3</v>
      </c>
      <c r="F384" s="149">
        <f>KPIs!G43</f>
        <v>0.3</v>
      </c>
      <c r="G384" s="149">
        <f>KPIs!H43</f>
        <v>0</v>
      </c>
      <c r="H384" s="53"/>
      <c r="I384" s="53"/>
      <c r="J384" s="53"/>
      <c r="K384" s="53"/>
      <c r="L384" s="53"/>
      <c r="M384" s="53"/>
      <c r="N384" s="398"/>
      <c r="O384" s="398"/>
      <c r="P384" s="398"/>
      <c r="Q384" s="398"/>
      <c r="R384" s="398"/>
      <c r="S384" s="398"/>
    </row>
    <row r="385" spans="1:19" ht="13.5" thickBot="1">
      <c r="A385" s="398"/>
      <c r="B385" s="53"/>
      <c r="C385" s="53"/>
      <c r="D385" s="696" t="str">
        <f>KPIs!B44</f>
        <v>Technology Effectiveness</v>
      </c>
      <c r="E385" s="149">
        <f>KPIs!F44</f>
        <v>0.3</v>
      </c>
      <c r="F385" s="149">
        <f>KPIs!G44</f>
        <v>0.36149999999999999</v>
      </c>
      <c r="G385" s="149">
        <f>KPIs!H44</f>
        <v>6.1499999999999999E-2</v>
      </c>
      <c r="H385" s="53"/>
      <c r="I385" s="53"/>
      <c r="J385" s="53"/>
      <c r="K385" s="53"/>
      <c r="L385" s="53"/>
      <c r="M385" s="53"/>
      <c r="N385" s="398"/>
      <c r="O385" s="398"/>
      <c r="P385" s="398"/>
      <c r="Q385" s="398"/>
      <c r="R385" s="398"/>
      <c r="S385" s="398"/>
    </row>
    <row r="386" spans="1:19" ht="13.5" thickTop="1">
      <c r="A386" s="398"/>
      <c r="B386" s="53"/>
      <c r="C386" s="53"/>
      <c r="D386" s="702" t="str">
        <f>KPIs!B45</f>
        <v>Average</v>
      </c>
      <c r="E386" s="235">
        <f>KPIs!F45</f>
        <v>0.3</v>
      </c>
      <c r="F386" s="235">
        <f>KPIs!G45</f>
        <v>0.31537499999999996</v>
      </c>
      <c r="G386" s="235">
        <f>KPIs!H45</f>
        <v>1.5375E-2</v>
      </c>
      <c r="H386" s="53"/>
      <c r="I386" s="53"/>
      <c r="J386" s="53"/>
      <c r="K386" s="53"/>
      <c r="L386" s="53"/>
      <c r="M386" s="53"/>
      <c r="N386" s="398"/>
      <c r="O386" s="398"/>
      <c r="P386" s="398"/>
      <c r="Q386" s="398"/>
      <c r="R386" s="398"/>
      <c r="S386" s="398"/>
    </row>
    <row r="387" spans="1:19">
      <c r="A387" s="398"/>
      <c r="B387" s="53"/>
      <c r="C387" s="53"/>
      <c r="D387" s="53"/>
      <c r="E387" s="53"/>
      <c r="F387" s="53"/>
      <c r="G387" s="53"/>
      <c r="H387" s="53"/>
      <c r="I387" s="53"/>
      <c r="J387" s="53"/>
      <c r="K387" s="53"/>
      <c r="L387" s="53"/>
      <c r="M387" s="53"/>
      <c r="N387" s="398"/>
      <c r="O387" s="398"/>
      <c r="P387" s="398"/>
      <c r="Q387" s="398"/>
      <c r="R387" s="398"/>
      <c r="S387" s="398"/>
    </row>
    <row r="388" spans="1:19">
      <c r="A388" s="398"/>
      <c r="B388" s="53"/>
      <c r="C388" s="53"/>
      <c r="D388" s="53"/>
      <c r="E388" s="53"/>
      <c r="F388" s="53"/>
      <c r="G388" s="53"/>
      <c r="H388" s="53"/>
      <c r="I388" s="53"/>
      <c r="J388" s="53"/>
      <c r="K388" s="53"/>
      <c r="L388" s="53"/>
      <c r="M388" s="53"/>
      <c r="N388" s="398"/>
      <c r="O388" s="398"/>
      <c r="P388" s="398"/>
      <c r="Q388" s="398"/>
      <c r="R388" s="398"/>
      <c r="S388" s="398"/>
    </row>
    <row r="389" spans="1:19">
      <c r="A389" s="398"/>
      <c r="B389" s="53"/>
      <c r="C389" s="53"/>
      <c r="D389" s="53"/>
      <c r="E389" s="53"/>
      <c r="F389" s="53"/>
      <c r="G389" s="53"/>
      <c r="H389" s="53"/>
      <c r="I389" s="53"/>
      <c r="J389" s="53"/>
      <c r="K389" s="53"/>
      <c r="L389" s="53"/>
      <c r="M389" s="53"/>
      <c r="N389" s="398"/>
      <c r="O389" s="398"/>
      <c r="P389" s="398"/>
      <c r="Q389" s="398"/>
      <c r="R389" s="398"/>
      <c r="S389" s="398"/>
    </row>
    <row r="390" spans="1:19">
      <c r="A390" s="398"/>
      <c r="B390" s="53"/>
      <c r="C390" s="53"/>
      <c r="D390" s="53"/>
      <c r="E390" s="53"/>
      <c r="F390" s="53"/>
      <c r="G390" s="53"/>
      <c r="H390" s="53"/>
      <c r="I390" s="53"/>
      <c r="J390" s="53"/>
      <c r="K390" s="53"/>
      <c r="L390" s="53"/>
      <c r="M390" s="53"/>
      <c r="N390" s="398"/>
      <c r="O390" s="398"/>
      <c r="P390" s="398"/>
      <c r="Q390" s="398"/>
      <c r="R390" s="398"/>
      <c r="S390" s="398"/>
    </row>
    <row r="391" spans="1:19">
      <c r="A391" s="398"/>
      <c r="B391" s="53"/>
      <c r="C391" s="53"/>
      <c r="D391" s="53"/>
      <c r="E391" s="53"/>
      <c r="F391" s="53"/>
      <c r="G391" s="53"/>
      <c r="H391" s="53"/>
      <c r="I391" s="53"/>
      <c r="J391" s="53"/>
      <c r="K391" s="53"/>
      <c r="L391" s="53"/>
      <c r="M391" s="53"/>
      <c r="N391" s="398"/>
      <c r="O391" s="398"/>
      <c r="P391" s="398"/>
      <c r="Q391" s="398"/>
      <c r="R391" s="398"/>
      <c r="S391" s="398"/>
    </row>
    <row r="392" spans="1:19">
      <c r="A392" s="398"/>
      <c r="B392" s="53"/>
      <c r="C392" s="53"/>
      <c r="D392" s="53"/>
      <c r="E392" s="53"/>
      <c r="F392" s="53"/>
      <c r="G392" s="53"/>
      <c r="H392" s="53"/>
      <c r="I392" s="53"/>
      <c r="J392" s="53"/>
      <c r="K392" s="53"/>
      <c r="L392" s="53"/>
      <c r="M392" s="53"/>
      <c r="N392" s="398"/>
      <c r="O392" s="398"/>
      <c r="P392" s="398"/>
      <c r="Q392" s="398"/>
      <c r="R392" s="398"/>
      <c r="S392" s="398"/>
    </row>
    <row r="393" spans="1:19">
      <c r="A393" s="398"/>
      <c r="B393" s="53"/>
      <c r="C393" s="53"/>
      <c r="D393" s="53"/>
      <c r="E393" s="53"/>
      <c r="F393" s="53"/>
      <c r="G393" s="53"/>
      <c r="H393" s="53"/>
      <c r="I393" s="53"/>
      <c r="J393" s="53"/>
      <c r="K393" s="53"/>
      <c r="L393" s="53"/>
      <c r="M393" s="53"/>
      <c r="N393" s="398"/>
      <c r="O393" s="398"/>
      <c r="P393" s="398"/>
      <c r="Q393" s="398"/>
      <c r="R393" s="398"/>
      <c r="S393" s="398"/>
    </row>
    <row r="394" spans="1:19">
      <c r="A394" s="398"/>
      <c r="B394" s="53"/>
      <c r="C394" s="53"/>
      <c r="D394" s="53"/>
      <c r="E394" s="53"/>
      <c r="F394" s="53"/>
      <c r="G394" s="53"/>
      <c r="H394" s="53"/>
      <c r="I394" s="53"/>
      <c r="J394" s="53"/>
      <c r="K394" s="53"/>
      <c r="L394" s="53"/>
      <c r="M394" s="53"/>
      <c r="N394" s="398"/>
      <c r="O394" s="398"/>
      <c r="P394" s="398"/>
      <c r="Q394" s="398"/>
      <c r="R394" s="398"/>
      <c r="S394" s="398"/>
    </row>
    <row r="395" spans="1:19">
      <c r="A395" s="398"/>
      <c r="B395" s="53"/>
      <c r="C395" s="53"/>
      <c r="D395" s="53"/>
      <c r="E395" s="53"/>
      <c r="F395" s="53"/>
      <c r="G395" s="53"/>
      <c r="H395" s="53"/>
      <c r="I395" s="53"/>
      <c r="J395" s="53"/>
      <c r="K395" s="53"/>
      <c r="L395" s="53"/>
      <c r="M395" s="53"/>
      <c r="N395" s="398"/>
      <c r="O395" s="398"/>
      <c r="P395" s="398"/>
      <c r="Q395" s="398"/>
      <c r="R395" s="398"/>
      <c r="S395" s="398"/>
    </row>
    <row r="396" spans="1:19" s="32" customFormat="1">
      <c r="A396" s="398"/>
      <c r="B396" s="53"/>
      <c r="C396" s="53"/>
      <c r="D396" s="53"/>
      <c r="E396" s="53"/>
      <c r="F396" s="53"/>
      <c r="G396" s="53"/>
      <c r="H396" s="53"/>
      <c r="I396" s="53"/>
      <c r="J396" s="53"/>
      <c r="K396" s="53"/>
      <c r="L396" s="53"/>
      <c r="M396" s="53"/>
      <c r="N396" s="398"/>
      <c r="O396" s="398"/>
      <c r="P396" s="398"/>
      <c r="Q396" s="398"/>
      <c r="R396" s="398"/>
      <c r="S396" s="398"/>
    </row>
    <row r="397" spans="1:19" s="32" customFormat="1" ht="12.75" customHeight="1">
      <c r="A397" s="398"/>
      <c r="B397" s="53"/>
      <c r="C397" s="53"/>
      <c r="D397" s="53"/>
      <c r="E397" s="53"/>
      <c r="F397" s="53"/>
      <c r="G397" s="53"/>
      <c r="H397" s="53"/>
      <c r="I397" s="53"/>
      <c r="J397" s="53"/>
      <c r="K397" s="53"/>
      <c r="L397" s="53"/>
      <c r="M397" s="53"/>
      <c r="N397" s="398"/>
      <c r="O397" s="398"/>
      <c r="P397" s="398"/>
      <c r="Q397" s="398"/>
      <c r="R397" s="398"/>
      <c r="S397" s="398"/>
    </row>
    <row r="398" spans="1:19">
      <c r="A398" s="398"/>
      <c r="B398" s="53"/>
      <c r="C398" s="53"/>
      <c r="D398" s="53"/>
      <c r="E398" s="53"/>
      <c r="F398" s="53"/>
      <c r="G398" s="53"/>
      <c r="H398" s="53"/>
      <c r="I398" s="53"/>
      <c r="J398" s="53"/>
      <c r="K398" s="53"/>
      <c r="L398" s="53"/>
      <c r="M398" s="53"/>
      <c r="N398" s="398"/>
      <c r="O398" s="398"/>
      <c r="P398" s="398"/>
      <c r="Q398" s="398"/>
      <c r="R398" s="398"/>
      <c r="S398" s="398"/>
    </row>
    <row r="399" spans="1:19">
      <c r="A399" s="398"/>
      <c r="B399" s="53"/>
      <c r="C399" s="53"/>
      <c r="D399" s="53"/>
      <c r="E399" s="53"/>
      <c r="F399" s="53"/>
      <c r="G399" s="53"/>
      <c r="H399" s="53"/>
      <c r="I399" s="53"/>
      <c r="J399" s="53"/>
      <c r="K399" s="53"/>
      <c r="L399" s="53"/>
      <c r="M399" s="53"/>
      <c r="N399" s="398"/>
      <c r="O399" s="398"/>
      <c r="P399" s="398"/>
      <c r="Q399" s="398"/>
      <c r="R399" s="398"/>
      <c r="S399" s="398"/>
    </row>
    <row r="400" spans="1:19">
      <c r="A400" s="398"/>
      <c r="B400" s="53"/>
      <c r="C400" s="53"/>
      <c r="D400" s="53"/>
      <c r="E400" s="53"/>
      <c r="F400" s="53"/>
      <c r="G400" s="53"/>
      <c r="H400" s="53"/>
      <c r="I400" s="53"/>
      <c r="J400" s="53"/>
      <c r="K400" s="53"/>
      <c r="L400" s="53"/>
      <c r="M400" s="53"/>
      <c r="N400" s="398"/>
      <c r="O400" s="398"/>
      <c r="P400" s="398"/>
      <c r="Q400" s="398"/>
      <c r="R400" s="398"/>
      <c r="S400" s="398"/>
    </row>
    <row r="401" spans="1:19">
      <c r="A401" s="398"/>
      <c r="B401" s="53"/>
      <c r="C401" s="53"/>
      <c r="D401" s="53"/>
      <c r="E401" s="53"/>
      <c r="F401" s="53"/>
      <c r="G401" s="53"/>
      <c r="H401" s="53"/>
      <c r="I401" s="53"/>
      <c r="J401" s="53"/>
      <c r="K401" s="53"/>
      <c r="L401" s="53"/>
      <c r="M401" s="53"/>
      <c r="N401" s="398"/>
      <c r="O401" s="398"/>
      <c r="P401" s="398"/>
      <c r="Q401" s="398"/>
      <c r="R401" s="398"/>
      <c r="S401" s="398"/>
    </row>
    <row r="402" spans="1:19">
      <c r="A402" s="398"/>
      <c r="B402" s="53"/>
      <c r="C402" s="53"/>
      <c r="D402" s="53"/>
      <c r="E402" s="53"/>
      <c r="F402" s="53"/>
      <c r="G402" s="53"/>
      <c r="H402" s="53"/>
      <c r="I402" s="53"/>
      <c r="J402" s="53"/>
      <c r="K402" s="53"/>
      <c r="L402" s="53"/>
      <c r="M402" s="53"/>
      <c r="N402" s="398"/>
      <c r="O402" s="398"/>
      <c r="P402" s="398"/>
      <c r="Q402" s="398"/>
      <c r="R402" s="398"/>
      <c r="S402" s="398"/>
    </row>
    <row r="403" spans="1:19">
      <c r="A403" s="398"/>
      <c r="B403" s="53"/>
      <c r="C403" s="53"/>
      <c r="D403" s="53"/>
      <c r="E403" s="53"/>
      <c r="F403" s="53"/>
      <c r="G403" s="53"/>
      <c r="H403" s="53"/>
      <c r="I403" s="53"/>
      <c r="J403" s="53"/>
      <c r="K403" s="53"/>
      <c r="L403" s="53"/>
      <c r="M403" s="53"/>
      <c r="N403" s="398"/>
      <c r="O403" s="398"/>
      <c r="P403" s="398"/>
      <c r="Q403" s="398"/>
      <c r="R403" s="398"/>
      <c r="S403" s="398"/>
    </row>
    <row r="404" spans="1:19">
      <c r="A404" s="398"/>
      <c r="B404" s="53"/>
      <c r="C404" s="53"/>
      <c r="D404" s="53"/>
      <c r="E404" s="53"/>
      <c r="F404" s="53"/>
      <c r="G404" s="53"/>
      <c r="H404" s="53"/>
      <c r="I404" s="53"/>
      <c r="J404" s="53"/>
      <c r="K404" s="53"/>
      <c r="L404" s="53"/>
      <c r="M404" s="53"/>
      <c r="N404" s="398"/>
      <c r="O404" s="398"/>
      <c r="P404" s="398"/>
      <c r="Q404" s="398"/>
      <c r="R404" s="398"/>
      <c r="S404" s="398"/>
    </row>
    <row r="405" spans="1:19">
      <c r="A405" s="398"/>
      <c r="B405" s="53"/>
      <c r="C405" s="53"/>
      <c r="D405" s="53"/>
      <c r="E405" s="53"/>
      <c r="F405" s="53"/>
      <c r="G405" s="53"/>
      <c r="H405" s="53"/>
      <c r="I405" s="53"/>
      <c r="J405" s="53"/>
      <c r="K405" s="53"/>
      <c r="L405" s="53"/>
      <c r="M405" s="53"/>
      <c r="N405" s="398"/>
      <c r="O405" s="398"/>
      <c r="P405" s="398"/>
      <c r="Q405" s="398"/>
      <c r="R405" s="398"/>
      <c r="S405" s="398"/>
    </row>
    <row r="406" spans="1:19">
      <c r="A406" s="398"/>
      <c r="B406" s="53"/>
      <c r="C406" s="53"/>
      <c r="D406" s="53"/>
      <c r="E406" s="53"/>
      <c r="F406" s="53"/>
      <c r="G406" s="53"/>
      <c r="H406" s="53"/>
      <c r="I406" s="53"/>
      <c r="J406" s="53"/>
      <c r="K406" s="53"/>
      <c r="L406" s="53"/>
      <c r="M406" s="53"/>
      <c r="N406" s="398"/>
      <c r="O406" s="398"/>
      <c r="P406" s="398"/>
      <c r="Q406" s="398"/>
      <c r="R406" s="398"/>
      <c r="S406" s="398"/>
    </row>
    <row r="407" spans="1:19">
      <c r="A407" s="398"/>
      <c r="B407" s="53"/>
      <c r="C407" s="53"/>
      <c r="D407" s="53"/>
      <c r="E407" s="53"/>
      <c r="F407" s="53"/>
      <c r="G407" s="53"/>
      <c r="H407" s="53"/>
      <c r="I407" s="53"/>
      <c r="J407" s="53"/>
      <c r="K407" s="53"/>
      <c r="L407" s="53"/>
      <c r="M407" s="53"/>
      <c r="N407" s="398"/>
      <c r="O407" s="398"/>
      <c r="P407" s="398"/>
      <c r="Q407" s="398"/>
      <c r="R407" s="398"/>
      <c r="S407" s="398"/>
    </row>
    <row r="408" spans="1:19" ht="3.75" customHeight="1">
      <c r="A408" s="398"/>
      <c r="B408" s="398"/>
      <c r="C408" s="398"/>
      <c r="D408" s="398"/>
      <c r="E408" s="398"/>
      <c r="F408" s="398"/>
      <c r="G408" s="398"/>
      <c r="H408" s="398"/>
      <c r="I408" s="398"/>
      <c r="J408" s="398"/>
      <c r="K408" s="398"/>
      <c r="L408" s="398"/>
      <c r="M408" s="398"/>
      <c r="N408" s="398"/>
      <c r="O408" s="398"/>
      <c r="P408" s="398"/>
      <c r="Q408" s="398"/>
      <c r="R408" s="398"/>
      <c r="S408" s="398"/>
    </row>
    <row r="409" spans="1:19">
      <c r="A409" s="398"/>
      <c r="B409" s="666" t="str">
        <f>CopyRight</f>
        <v>©AnalysisPlace.  www.analysisplace.com</v>
      </c>
      <c r="C409" s="666"/>
      <c r="D409" s="666"/>
      <c r="E409" s="666"/>
      <c r="F409" s="666"/>
      <c r="G409" s="666"/>
      <c r="H409" s="398"/>
      <c r="I409" s="398"/>
      <c r="J409" s="398"/>
      <c r="K409" s="398"/>
      <c r="L409" s="398"/>
      <c r="M409" s="398"/>
      <c r="N409" s="398"/>
      <c r="O409" s="398"/>
      <c r="P409" s="398"/>
      <c r="Q409" s="398"/>
      <c r="R409" s="398"/>
      <c r="S409" s="398"/>
    </row>
    <row r="410" spans="1:19">
      <c r="A410" s="100" t="s">
        <v>164</v>
      </c>
      <c r="B410" s="398"/>
      <c r="C410" s="398"/>
      <c r="D410" s="398"/>
      <c r="E410" s="398"/>
      <c r="F410" s="398"/>
      <c r="G410" s="398"/>
      <c r="H410" s="398"/>
      <c r="I410" s="398"/>
      <c r="J410" s="398"/>
      <c r="K410" s="398"/>
      <c r="L410" s="398"/>
      <c r="M410" s="398"/>
      <c r="N410" s="398"/>
      <c r="O410" s="398"/>
      <c r="P410" s="398"/>
      <c r="Q410" s="398"/>
      <c r="R410" s="398"/>
      <c r="S410" s="398"/>
    </row>
    <row r="411" spans="1:19">
      <c r="A411" s="398"/>
      <c r="B411" s="398"/>
      <c r="C411" s="398"/>
      <c r="D411" s="398"/>
      <c r="E411" s="398"/>
      <c r="F411" s="398"/>
      <c r="G411" s="398"/>
      <c r="H411" s="398"/>
      <c r="I411" s="398"/>
      <c r="J411" s="398"/>
      <c r="K411" s="398"/>
      <c r="L411" s="398"/>
      <c r="M411" s="398"/>
      <c r="N411" s="398"/>
      <c r="O411" s="398"/>
      <c r="P411" s="398"/>
      <c r="Q411" s="398"/>
      <c r="R411" s="398"/>
      <c r="S411" s="398"/>
    </row>
    <row r="412" spans="1:19">
      <c r="A412" s="398"/>
      <c r="B412" s="398"/>
      <c r="C412" s="398"/>
      <c r="D412" s="398"/>
      <c r="E412" s="398"/>
      <c r="F412" s="398"/>
      <c r="G412" s="398"/>
      <c r="H412" s="398"/>
      <c r="I412" s="398"/>
      <c r="J412" s="398"/>
      <c r="K412" s="398"/>
      <c r="L412" s="398"/>
      <c r="M412" s="398"/>
      <c r="N412" s="398"/>
      <c r="O412" s="398"/>
      <c r="P412" s="398"/>
      <c r="Q412" s="398"/>
      <c r="R412" s="398"/>
      <c r="S412" s="398"/>
    </row>
    <row r="413" spans="1:19">
      <c r="A413" s="398"/>
      <c r="B413" s="398"/>
      <c r="C413" s="398"/>
      <c r="D413" s="398"/>
      <c r="E413" s="398"/>
      <c r="F413" s="398"/>
      <c r="G413" s="398"/>
      <c r="H413" s="398"/>
      <c r="I413" s="398"/>
      <c r="J413" s="398"/>
      <c r="K413" s="398"/>
      <c r="L413" s="398"/>
      <c r="M413" s="398"/>
      <c r="N413" s="398"/>
      <c r="O413" s="398"/>
      <c r="P413" s="398"/>
      <c r="Q413" s="398"/>
      <c r="R413" s="398"/>
      <c r="S413" s="398"/>
    </row>
    <row r="414" spans="1:19">
      <c r="A414" s="398"/>
      <c r="B414" s="398"/>
      <c r="C414" s="398"/>
      <c r="D414" s="398"/>
      <c r="E414" s="398"/>
      <c r="F414" s="398"/>
      <c r="G414" s="398"/>
      <c r="H414" s="398"/>
      <c r="I414" s="398"/>
      <c r="J414" s="398"/>
      <c r="K414" s="398"/>
      <c r="L414" s="398"/>
      <c r="M414" s="398"/>
      <c r="N414" s="398"/>
      <c r="O414" s="398"/>
      <c r="P414" s="398"/>
      <c r="Q414" s="398"/>
      <c r="R414" s="398"/>
      <c r="S414" s="398"/>
    </row>
    <row r="415" spans="1:19">
      <c r="A415" s="398"/>
      <c r="B415" s="398"/>
      <c r="C415" s="398"/>
      <c r="D415" s="398"/>
      <c r="E415" s="398"/>
      <c r="F415" s="398"/>
      <c r="G415" s="398"/>
      <c r="H415" s="398"/>
      <c r="I415" s="398"/>
      <c r="J415" s="398"/>
      <c r="K415" s="398"/>
      <c r="L415" s="398"/>
      <c r="M415" s="398"/>
      <c r="N415" s="398"/>
      <c r="O415" s="398"/>
      <c r="P415" s="398"/>
      <c r="Q415" s="398"/>
      <c r="R415" s="398"/>
      <c r="S415" s="398"/>
    </row>
    <row r="416" spans="1:19">
      <c r="A416" s="398"/>
      <c r="B416" s="398"/>
      <c r="C416" s="398"/>
      <c r="D416" s="398"/>
      <c r="E416" s="398"/>
      <c r="F416" s="398"/>
      <c r="G416" s="398"/>
      <c r="H416" s="398"/>
      <c r="I416" s="398"/>
      <c r="J416" s="398"/>
      <c r="K416" s="398"/>
      <c r="L416" s="398"/>
      <c r="M416" s="398"/>
      <c r="N416" s="398"/>
      <c r="O416" s="398"/>
      <c r="P416" s="398"/>
      <c r="Q416" s="398"/>
      <c r="R416" s="398"/>
      <c r="S416" s="398"/>
    </row>
    <row r="417" spans="1:19">
      <c r="A417" s="398"/>
      <c r="B417" s="398"/>
      <c r="C417" s="398"/>
      <c r="D417" s="398"/>
      <c r="E417" s="398"/>
      <c r="F417" s="398"/>
      <c r="G417" s="398"/>
      <c r="H417" s="398"/>
      <c r="I417" s="398"/>
      <c r="J417" s="398"/>
      <c r="K417" s="398"/>
      <c r="L417" s="398"/>
      <c r="M417" s="398"/>
      <c r="N417" s="398"/>
      <c r="O417" s="398"/>
      <c r="P417" s="398"/>
      <c r="Q417" s="398"/>
      <c r="R417" s="398"/>
      <c r="S417" s="398"/>
    </row>
    <row r="418" spans="1:19">
      <c r="A418" s="398"/>
      <c r="B418" s="398"/>
      <c r="C418" s="398"/>
      <c r="D418" s="398"/>
      <c r="E418" s="398"/>
      <c r="F418" s="398"/>
      <c r="G418" s="398"/>
      <c r="H418" s="398"/>
      <c r="I418" s="398"/>
      <c r="J418" s="398"/>
      <c r="K418" s="398"/>
      <c r="L418" s="398"/>
      <c r="M418" s="398"/>
      <c r="N418" s="398"/>
      <c r="O418" s="398"/>
      <c r="P418" s="398"/>
      <c r="Q418" s="398"/>
      <c r="R418" s="398"/>
      <c r="S418" s="398"/>
    </row>
    <row r="419" spans="1:19">
      <c r="A419" s="398"/>
      <c r="B419" s="398"/>
      <c r="C419" s="398"/>
      <c r="D419" s="398"/>
      <c r="E419" s="398"/>
      <c r="F419" s="398"/>
      <c r="G419" s="398"/>
      <c r="H419" s="398"/>
      <c r="I419" s="398"/>
      <c r="J419" s="398"/>
      <c r="K419" s="398"/>
      <c r="L419" s="398"/>
      <c r="M419" s="398"/>
      <c r="N419" s="398"/>
      <c r="O419" s="398"/>
      <c r="P419" s="398"/>
      <c r="Q419" s="398"/>
      <c r="R419" s="398"/>
      <c r="S419" s="398"/>
    </row>
    <row r="420" spans="1:19">
      <c r="A420" s="398"/>
      <c r="B420" s="398"/>
      <c r="C420" s="398"/>
      <c r="D420" s="398"/>
      <c r="E420" s="398"/>
      <c r="F420" s="398"/>
      <c r="G420" s="398"/>
      <c r="H420" s="398"/>
      <c r="I420" s="398"/>
      <c r="J420" s="398"/>
      <c r="K420" s="398"/>
      <c r="L420" s="398"/>
      <c r="M420" s="398"/>
      <c r="N420" s="398"/>
      <c r="O420" s="398"/>
      <c r="P420" s="398"/>
      <c r="Q420" s="398"/>
      <c r="R420" s="398"/>
      <c r="S420" s="398"/>
    </row>
  </sheetData>
  <mergeCells count="43">
    <mergeCell ref="B3:M3"/>
    <mergeCell ref="H241:J241"/>
    <mergeCell ref="E19:G19"/>
    <mergeCell ref="H19:J19"/>
    <mergeCell ref="E64:G64"/>
    <mergeCell ref="H152:J152"/>
    <mergeCell ref="H64:J64"/>
    <mergeCell ref="E75:G75"/>
    <mergeCell ref="H75:J75"/>
    <mergeCell ref="E15:G15"/>
    <mergeCell ref="F7:G7"/>
    <mergeCell ref="F8:G8"/>
    <mergeCell ref="F9:G9"/>
    <mergeCell ref="F10:G10"/>
    <mergeCell ref="C57:L57"/>
    <mergeCell ref="C200:L200"/>
    <mergeCell ref="C5:L5"/>
    <mergeCell ref="C63:L63"/>
    <mergeCell ref="C74:L74"/>
    <mergeCell ref="C100:L100"/>
    <mergeCell ref="C151:L151"/>
    <mergeCell ref="E12:G12"/>
    <mergeCell ref="E14:G14"/>
    <mergeCell ref="C46:L46"/>
    <mergeCell ref="F11:G11"/>
    <mergeCell ref="E13:G13"/>
    <mergeCell ref="E58:K58"/>
    <mergeCell ref="E59:K59"/>
    <mergeCell ref="E60:K60"/>
    <mergeCell ref="E380:G380"/>
    <mergeCell ref="B76:D76"/>
    <mergeCell ref="B83:D83"/>
    <mergeCell ref="C84:D84"/>
    <mergeCell ref="C85:D85"/>
    <mergeCell ref="C89:D89"/>
    <mergeCell ref="C94:D94"/>
    <mergeCell ref="C95:D95"/>
    <mergeCell ref="C239:L239"/>
    <mergeCell ref="C379:L379"/>
    <mergeCell ref="E152:G152"/>
    <mergeCell ref="H251:J251"/>
    <mergeCell ref="H295:J295"/>
    <mergeCell ref="H344:J344"/>
  </mergeCells>
  <hyperlinks>
    <hyperlink ref="B409" r:id="rId1" display="© Copyright, 2007, Hall Consulting &amp; Research LLC, All Rights Reserved.  www.hallcr.com" xr:uid="{00000000-0004-0000-0900-000000000000}"/>
  </hyperlinks>
  <pageMargins left="0.7" right="0.7" top="0.75" bottom="0.75" header="0.3" footer="0.3"/>
  <pageSetup scale="60" fitToHeight="100" orientation="portrait" horizontalDpi="300" verticalDpi="300" r:id="rId2"/>
  <headerFooter>
    <oddHeader>&amp;CAnalysisPlace.com   IT Project ROI and Business Case Toolkit</oddHeader>
    <oddFooter>&amp;L&amp;A&amp;C&amp;F&amp;R&amp;P of &amp;N</oddFooter>
  </headerFooter>
  <rowBreaks count="6" manualBreakCount="6">
    <brk id="61" max="13" man="1"/>
    <brk id="98" max="13" man="1"/>
    <brk id="173" max="13" man="1"/>
    <brk id="237" max="13" man="1"/>
    <brk id="309" max="13" man="1"/>
    <brk id="377" max="1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1">
    <tabColor theme="1"/>
    <outlinePr summaryBelow="0" summaryRight="0"/>
  </sheetPr>
  <dimension ref="A1:AI313"/>
  <sheetViews>
    <sheetView workbookViewId="0" xr3:uid="{C67EF94B-0B3B-5838-830C-E3A509766221}"/>
  </sheetViews>
  <sheetFormatPr defaultRowHeight="12.75" outlineLevelRow="1"/>
  <cols>
    <col min="1" max="1" width="3" style="320" customWidth="1"/>
    <col min="2" max="2" width="44.85546875" style="23" customWidth="1"/>
    <col min="3" max="3" width="12.85546875" style="23" customWidth="1"/>
    <col min="4" max="4" width="11.42578125" style="23" customWidth="1"/>
    <col min="5" max="5" width="14.140625" style="23" bestFit="1" customWidth="1"/>
    <col min="6" max="6" width="11.5703125" style="23" bestFit="1" customWidth="1"/>
    <col min="7" max="7" width="9.5703125" style="23" customWidth="1"/>
    <col min="8" max="8" width="14.140625" style="23" bestFit="1" customWidth="1"/>
    <col min="9" max="9" width="10.7109375" style="23" customWidth="1"/>
    <col min="10" max="10" width="10.28515625" style="23" customWidth="1"/>
    <col min="11" max="11" width="9.140625" style="23"/>
    <col min="12" max="12" width="8.85546875" style="23" customWidth="1"/>
    <col min="13" max="13" width="9.140625" style="23" customWidth="1"/>
    <col min="14" max="14" width="10.42578125" style="23" customWidth="1"/>
    <col min="15" max="15" width="9.140625" style="23"/>
    <col min="16" max="16" width="9.28515625" style="23" customWidth="1"/>
    <col min="17" max="17" width="10.140625" style="23" bestFit="1" customWidth="1"/>
    <col min="18" max="18" width="12.140625" style="23" customWidth="1"/>
    <col min="19" max="19" width="11.28515625" style="23" bestFit="1" customWidth="1"/>
    <col min="20" max="20" width="11.5703125" style="23" customWidth="1"/>
    <col min="21" max="21" width="10.85546875" style="23" customWidth="1"/>
    <col min="22" max="22" width="10.140625" style="23" bestFit="1" customWidth="1"/>
    <col min="23" max="23" width="13.85546875" style="23" customWidth="1"/>
    <col min="24" max="24" width="13.140625" style="23" customWidth="1"/>
    <col min="25" max="25" width="15.7109375" style="23" bestFit="1" customWidth="1"/>
    <col min="26" max="16384" width="9.140625" style="23"/>
  </cols>
  <sheetData>
    <row r="1" spans="1:35" ht="27">
      <c r="A1" s="4" t="s">
        <v>813</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row>
    <row r="2" spans="1:35" s="59" customFormat="1" ht="22.5">
      <c r="A2" s="29" t="s">
        <v>229</v>
      </c>
      <c r="B2" s="398"/>
      <c r="C2" s="398"/>
      <c r="D2" s="398"/>
      <c r="E2" s="398"/>
      <c r="F2" s="398"/>
      <c r="G2" s="398"/>
      <c r="H2" s="398"/>
      <c r="I2" s="398"/>
      <c r="J2" s="398"/>
      <c r="K2" s="398"/>
      <c r="L2" s="398"/>
      <c r="M2" s="398"/>
      <c r="N2" s="398"/>
      <c r="O2" s="398"/>
      <c r="P2" s="398"/>
      <c r="Q2" s="398"/>
      <c r="R2" s="398"/>
      <c r="S2" s="148"/>
      <c r="T2" s="398"/>
      <c r="U2" s="398"/>
      <c r="V2" s="398"/>
      <c r="W2" s="398"/>
      <c r="X2" s="398"/>
      <c r="Y2" s="398"/>
      <c r="Z2" s="398"/>
      <c r="AA2" s="398"/>
      <c r="AB2" s="398"/>
      <c r="AC2" s="398"/>
      <c r="AD2" s="398"/>
      <c r="AE2" s="398"/>
      <c r="AF2" s="398"/>
      <c r="AG2" s="398"/>
      <c r="AH2" s="398"/>
      <c r="AI2" s="398"/>
    </row>
    <row r="3" spans="1:35" s="59" customFormat="1" outlineLevel="1">
      <c r="A3" s="398"/>
      <c r="B3" s="36" t="s">
        <v>814</v>
      </c>
      <c r="C3" s="326">
        <v>0</v>
      </c>
      <c r="D3" s="398"/>
      <c r="E3" s="398"/>
      <c r="F3" s="398"/>
      <c r="G3" s="398"/>
      <c r="H3" s="398"/>
      <c r="I3" s="398"/>
      <c r="J3" s="398"/>
      <c r="K3" s="398"/>
      <c r="L3" s="398"/>
      <c r="M3" s="398"/>
      <c r="N3" s="398"/>
      <c r="O3" s="398"/>
      <c r="P3" s="398"/>
      <c r="Q3" s="398"/>
      <c r="R3" s="398"/>
      <c r="S3" s="148"/>
      <c r="T3" s="398"/>
      <c r="U3" s="398"/>
      <c r="V3" s="398"/>
      <c r="W3" s="398"/>
      <c r="X3" s="398"/>
      <c r="Y3" s="398"/>
      <c r="Z3" s="398"/>
      <c r="AA3" s="398"/>
      <c r="AB3" s="398"/>
      <c r="AC3" s="398"/>
      <c r="AD3" s="398"/>
      <c r="AE3" s="398"/>
      <c r="AF3" s="398"/>
      <c r="AG3" s="398"/>
      <c r="AH3" s="398"/>
      <c r="AI3" s="398"/>
    </row>
    <row r="4" spans="1:35" s="59" customFormat="1" outlineLevel="1">
      <c r="A4" s="398"/>
      <c r="B4" s="398"/>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row>
    <row r="5" spans="1:35" s="59" customFormat="1" ht="38.25" outlineLevel="1">
      <c r="A5" s="398"/>
      <c r="B5" s="398"/>
      <c r="C5" s="671" t="s">
        <v>815</v>
      </c>
      <c r="D5" s="671" t="s">
        <v>816</v>
      </c>
      <c r="E5" s="671" t="s">
        <v>817</v>
      </c>
      <c r="F5" s="671" t="s">
        <v>818</v>
      </c>
      <c r="G5" s="671" t="s">
        <v>819</v>
      </c>
      <c r="H5" s="270"/>
      <c r="I5" s="279" t="s">
        <v>820</v>
      </c>
      <c r="J5" s="398"/>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398"/>
    </row>
    <row r="6" spans="1:35" s="59" customFormat="1" ht="25.5" outlineLevel="1">
      <c r="A6" s="398"/>
      <c r="B6" s="36" t="s">
        <v>821</v>
      </c>
      <c r="C6" s="107" t="s">
        <v>720</v>
      </c>
      <c r="D6" s="398"/>
      <c r="E6" s="398"/>
      <c r="F6" s="398"/>
      <c r="G6" s="107" t="s">
        <v>822</v>
      </c>
      <c r="H6" s="270"/>
      <c r="I6" s="269" t="str">
        <f>IF(IF($C$3=1,C6,G6)=0,"",IF($C$3=1,C6,G6))</f>
        <v>CompanyName</v>
      </c>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row>
    <row r="7" spans="1:35" s="59" customFormat="1" outlineLevel="1">
      <c r="A7" s="398"/>
      <c r="B7" s="36" t="s">
        <v>823</v>
      </c>
      <c r="C7" s="107" t="s">
        <v>720</v>
      </c>
      <c r="D7" s="398"/>
      <c r="E7" s="398"/>
      <c r="F7" s="398"/>
      <c r="G7" s="107"/>
      <c r="H7" s="270"/>
      <c r="I7" s="269">
        <f>IF($C$3=1,C7,G7)</f>
        <v>0</v>
      </c>
      <c r="J7" s="398"/>
      <c r="K7" s="398"/>
      <c r="L7" s="398"/>
      <c r="M7" s="398"/>
      <c r="N7" s="398"/>
      <c r="O7" s="398"/>
      <c r="P7" s="398"/>
      <c r="Q7" s="398"/>
      <c r="R7" s="398"/>
      <c r="S7" s="398"/>
      <c r="T7" s="398"/>
      <c r="U7" s="398"/>
      <c r="V7" s="398"/>
      <c r="W7" s="398"/>
      <c r="X7" s="398"/>
      <c r="Y7" s="398"/>
      <c r="Z7" s="398"/>
      <c r="AA7" s="398"/>
      <c r="AB7" s="398"/>
      <c r="AC7" s="398"/>
      <c r="AD7" s="398"/>
      <c r="AE7" s="398"/>
      <c r="AF7" s="398"/>
      <c r="AG7" s="398"/>
      <c r="AH7" s="398"/>
      <c r="AI7" s="398"/>
    </row>
    <row r="8" spans="1:35" s="59" customFormat="1" outlineLevel="1">
      <c r="A8" s="398"/>
      <c r="B8" s="36" t="s">
        <v>824</v>
      </c>
      <c r="C8" s="181" t="s">
        <v>720</v>
      </c>
      <c r="D8" s="639"/>
      <c r="E8" s="639"/>
      <c r="F8" s="639"/>
      <c r="G8" s="181" t="s">
        <v>825</v>
      </c>
      <c r="H8" s="640"/>
      <c r="I8" s="327" t="str">
        <f>IF($C$3=1,C8,G8)</f>
        <v>Average or combination</v>
      </c>
      <c r="J8" s="398"/>
      <c r="K8" s="398"/>
      <c r="L8" s="398"/>
      <c r="M8" s="398"/>
      <c r="N8" s="398"/>
      <c r="O8" s="398"/>
      <c r="P8" s="398"/>
      <c r="Q8" s="398"/>
      <c r="R8" s="398"/>
      <c r="S8" s="398"/>
      <c r="T8" s="398"/>
      <c r="U8" s="398"/>
      <c r="V8" s="398"/>
      <c r="W8" s="398"/>
      <c r="X8" s="398"/>
      <c r="Y8" s="398"/>
      <c r="Z8" s="398"/>
      <c r="AA8" s="398"/>
      <c r="AB8" s="398"/>
      <c r="AC8" s="398"/>
      <c r="AD8" s="398"/>
      <c r="AE8" s="398"/>
      <c r="AF8" s="398"/>
      <c r="AG8" s="398"/>
      <c r="AH8" s="398"/>
      <c r="AI8" s="398"/>
    </row>
    <row r="9" spans="1:35" s="59" customFormat="1" outlineLevel="1">
      <c r="A9" s="398"/>
      <c r="B9" s="36" t="s">
        <v>826</v>
      </c>
      <c r="C9" s="181" t="s">
        <v>720</v>
      </c>
      <c r="D9" s="639"/>
      <c r="E9" s="639"/>
      <c r="F9" s="639"/>
      <c r="G9" s="181" t="str">
        <f>B155</f>
        <v>NORTH AMERICA - United States</v>
      </c>
      <c r="H9" s="328" t="s">
        <v>827</v>
      </c>
      <c r="I9" s="316" t="str">
        <f>IF($C$3=1,C9,G9)</f>
        <v>NORTH AMERICA - United States</v>
      </c>
      <c r="J9" s="398"/>
      <c r="K9" s="398"/>
      <c r="L9" s="398"/>
      <c r="M9" s="398"/>
      <c r="N9" s="398"/>
      <c r="O9" s="398"/>
      <c r="P9" s="398"/>
      <c r="Q9" s="398"/>
      <c r="R9" s="398"/>
      <c r="S9" s="398"/>
      <c r="T9" s="398"/>
      <c r="U9" s="398"/>
      <c r="V9" s="398"/>
      <c r="W9" s="398"/>
      <c r="X9" s="398"/>
      <c r="Y9" s="398"/>
      <c r="Z9" s="398"/>
      <c r="AA9" s="398"/>
      <c r="AB9" s="398"/>
      <c r="AC9" s="398"/>
      <c r="AD9" s="398"/>
      <c r="AE9" s="398"/>
      <c r="AF9" s="398"/>
      <c r="AG9" s="398"/>
      <c r="AH9" s="398"/>
      <c r="AI9" s="398"/>
    </row>
    <row r="10" spans="1:35" s="59" customFormat="1" outlineLevel="1">
      <c r="A10" s="398"/>
      <c r="B10" s="36" t="s">
        <v>828</v>
      </c>
      <c r="C10" s="329" t="s">
        <v>720</v>
      </c>
      <c r="D10" s="107">
        <v>5000</v>
      </c>
      <c r="E10" s="398"/>
      <c r="F10" s="398"/>
      <c r="G10" s="330">
        <f>D10</f>
        <v>5000</v>
      </c>
      <c r="H10" s="331" t="s">
        <v>829</v>
      </c>
      <c r="I10" s="63">
        <f>IF($C$3=1,C10,G10)</f>
        <v>5000</v>
      </c>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398"/>
      <c r="AI10" s="398"/>
    </row>
    <row r="11" spans="1:35" s="59" customFormat="1" outlineLevel="1">
      <c r="A11" s="398"/>
      <c r="B11" s="36" t="s">
        <v>830</v>
      </c>
      <c r="C11" s="697" t="s">
        <v>720</v>
      </c>
      <c r="D11" s="398"/>
      <c r="E11" s="697"/>
      <c r="F11" s="697"/>
      <c r="G11" s="603">
        <f>Employees*G14/1000000</f>
        <v>2233.5035673083048</v>
      </c>
      <c r="H11" s="604">
        <f>IF(C26&gt;0,PCs/E13/E12*G14/1000000,G11)</f>
        <v>2233.5035673083048</v>
      </c>
      <c r="I11" s="570">
        <f>IF($C$3=1,C11,G11)</f>
        <v>2233.5035673083048</v>
      </c>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98"/>
      <c r="AI11" s="398"/>
    </row>
    <row r="12" spans="1:35" s="59" customFormat="1" outlineLevel="1">
      <c r="A12" s="398"/>
      <c r="B12" s="36" t="s">
        <v>831</v>
      </c>
      <c r="C12" s="398"/>
      <c r="D12" s="396" t="s">
        <v>832</v>
      </c>
      <c r="E12" s="60">
        <f>PCUserMix</f>
        <v>0.55043858033445614</v>
      </c>
      <c r="F12" s="107"/>
      <c r="G12" s="332">
        <f>G10*E12</f>
        <v>2752.1929016722806</v>
      </c>
      <c r="H12" s="604">
        <f>PCs/E13</f>
        <v>2752.1929016722806</v>
      </c>
      <c r="I12" s="63">
        <f>Employees*E12</f>
        <v>2752.1929016722806</v>
      </c>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c r="AH12" s="398"/>
      <c r="AI12" s="398"/>
    </row>
    <row r="13" spans="1:35" s="59" customFormat="1" outlineLevel="1">
      <c r="A13" s="398"/>
      <c r="B13" s="36" t="s">
        <v>833</v>
      </c>
      <c r="C13" s="398"/>
      <c r="D13" s="396" t="s">
        <v>834</v>
      </c>
      <c r="E13" s="107">
        <f>S94</f>
        <v>1.19</v>
      </c>
      <c r="F13" s="107"/>
      <c r="G13" s="332">
        <f>G12*E13</f>
        <v>3275.109552990014</v>
      </c>
      <c r="H13" s="333">
        <f>G13</f>
        <v>3275.109552990014</v>
      </c>
      <c r="I13" s="63">
        <f>PCUsers*E13</f>
        <v>3275.109552990014</v>
      </c>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398"/>
    </row>
    <row r="14" spans="1:35" s="59" customFormat="1" outlineLevel="1">
      <c r="A14" s="398"/>
      <c r="B14" s="36" t="s">
        <v>835</v>
      </c>
      <c r="C14" s="398" t="e">
        <f>C11*1000000/C10</f>
        <v>#VALUE!</v>
      </c>
      <c r="D14" s="398"/>
      <c r="E14" s="569">
        <f>RevPerEmployee</f>
        <v>446700.71346166095</v>
      </c>
      <c r="F14" s="154">
        <f>F170</f>
        <v>1</v>
      </c>
      <c r="G14" s="539">
        <f>F14*E14</f>
        <v>446700.71346166095</v>
      </c>
      <c r="H14" s="270"/>
      <c r="I14" s="539">
        <f>IF($C$3=1,C14,G14)</f>
        <v>446700.71346166095</v>
      </c>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row>
    <row r="15" spans="1:35" s="59" customFormat="1" outlineLevel="1">
      <c r="A15" s="398"/>
      <c r="B15" s="36" t="s">
        <v>836</v>
      </c>
      <c r="C15" s="398"/>
      <c r="D15" s="398"/>
      <c r="E15" s="398"/>
      <c r="F15" s="398"/>
      <c r="G15" s="149"/>
      <c r="H15" s="270"/>
      <c r="I15" s="334"/>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row>
    <row r="16" spans="1:35" s="59" customFormat="1" outlineLevel="1">
      <c r="A16" s="398"/>
      <c r="B16" s="36" t="s">
        <v>251</v>
      </c>
      <c r="C16" s="398"/>
      <c r="D16" s="335" t="s">
        <v>837</v>
      </c>
      <c r="E16" s="335" t="s">
        <v>838</v>
      </c>
      <c r="F16" s="398"/>
      <c r="G16" s="149"/>
      <c r="H16" s="270"/>
      <c r="I16" s="334"/>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row>
    <row r="17" spans="1:35" s="59" customFormat="1" outlineLevel="1">
      <c r="A17" s="398"/>
      <c r="B17" s="36" t="s">
        <v>839</v>
      </c>
      <c r="C17" s="149" t="s">
        <v>720</v>
      </c>
      <c r="D17" s="149">
        <v>0.05</v>
      </c>
      <c r="E17" s="149" t="s">
        <v>840</v>
      </c>
      <c r="F17" s="398"/>
      <c r="G17" s="149">
        <f>R94</f>
        <v>0.1703028465807406</v>
      </c>
      <c r="H17" s="270"/>
      <c r="I17" s="336">
        <f>IF($E$17="No",G17,E17)</f>
        <v>0.1703028465807406</v>
      </c>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8"/>
    </row>
    <row r="18" spans="1:35" s="59" customFormat="1" outlineLevel="1">
      <c r="A18" s="398"/>
      <c r="B18" s="36" t="s">
        <v>841</v>
      </c>
      <c r="C18" s="149" t="s">
        <v>720</v>
      </c>
      <c r="D18" s="149">
        <v>0.02</v>
      </c>
      <c r="E18" s="149" t="s">
        <v>840</v>
      </c>
      <c r="F18" s="398"/>
      <c r="G18" s="149">
        <f>Q94</f>
        <v>5.4995552963538114E-2</v>
      </c>
      <c r="H18" s="270"/>
      <c r="I18" s="336">
        <f>IF($E$17="No",G18,E18)</f>
        <v>5.4995552963538114E-2</v>
      </c>
      <c r="J18" s="398"/>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row>
    <row r="19" spans="1:35" s="59" customFormat="1" outlineLevel="1">
      <c r="A19" s="398"/>
      <c r="B19" s="36" t="s">
        <v>842</v>
      </c>
      <c r="C19" s="149" t="s">
        <v>720</v>
      </c>
      <c r="D19" s="149"/>
      <c r="E19" s="149"/>
      <c r="F19" s="398"/>
      <c r="G19" s="149"/>
      <c r="H19" s="270"/>
      <c r="I19" s="336">
        <f>IF($C$3=1,C19,G19)</f>
        <v>0</v>
      </c>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row>
    <row r="20" spans="1:35" s="59" customFormat="1" outlineLevel="1">
      <c r="A20" s="398"/>
      <c r="B20" s="36" t="s">
        <v>843</v>
      </c>
      <c r="C20" s="398"/>
      <c r="D20" s="398"/>
      <c r="E20" s="398"/>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row>
    <row r="21" spans="1:35" s="59" customFormat="1" outlineLevel="1">
      <c r="A21" s="398"/>
      <c r="B21" s="36" t="s">
        <v>844</v>
      </c>
      <c r="C21" s="149" t="s">
        <v>720</v>
      </c>
      <c r="D21" s="398"/>
      <c r="E21" s="149" t="str">
        <f>IF(ISERROR(C21),"No",IF(ISNUMBER(C21),C21,"No"))</f>
        <v>No</v>
      </c>
      <c r="F21" s="398"/>
      <c r="G21" s="149">
        <f>X94</f>
        <v>5.8000000000000003E-2</v>
      </c>
      <c r="H21" s="270"/>
      <c r="I21" s="336">
        <f>IF($E21="No",G21,E21)</f>
        <v>5.8000000000000003E-2</v>
      </c>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row>
    <row r="22" spans="1:35" s="59" customFormat="1" outlineLevel="1">
      <c r="A22" s="398"/>
      <c r="B22" s="36" t="s">
        <v>845</v>
      </c>
      <c r="C22" s="398"/>
      <c r="D22" s="270"/>
      <c r="E22" s="398"/>
      <c r="F22" s="398"/>
      <c r="G22" s="149">
        <f>W94</f>
        <v>8.2000000000000003E-2</v>
      </c>
      <c r="H22" s="270"/>
      <c r="I22" s="149">
        <f>G22</f>
        <v>8.2000000000000003E-2</v>
      </c>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row>
    <row r="23" spans="1:35" s="122" customFormat="1" ht="15" outlineLevel="1">
      <c r="A23" s="6" t="s">
        <v>846</v>
      </c>
      <c r="B23" s="398"/>
      <c r="C23" s="671" t="s">
        <v>847</v>
      </c>
      <c r="D23" s="671" t="s">
        <v>848</v>
      </c>
      <c r="E23" s="671" t="s">
        <v>849</v>
      </c>
      <c r="F23" s="671" t="s">
        <v>850</v>
      </c>
      <c r="G23" s="398"/>
      <c r="H23" s="398"/>
      <c r="I23" s="398"/>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row>
    <row r="24" spans="1:35" s="122" customFormat="1" ht="15" outlineLevel="1">
      <c r="A24" s="6"/>
      <c r="B24" s="36" t="s">
        <v>851</v>
      </c>
      <c r="C24" s="295">
        <f>EmployeesDefault</f>
        <v>5000</v>
      </c>
      <c r="D24" s="605">
        <f>RevenueDefault</f>
        <v>2233.5035673083048</v>
      </c>
      <c r="E24" s="317">
        <f>PCUsersDefault</f>
        <v>2752.1929016722806</v>
      </c>
      <c r="F24" s="317">
        <f>PCsDefault</f>
        <v>3275.109552990014</v>
      </c>
      <c r="G24" s="398"/>
      <c r="H24" s="398"/>
      <c r="I24" s="398"/>
      <c r="J24" s="398"/>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row>
    <row r="25" spans="1:35" s="122" customFormat="1" ht="15" outlineLevel="1">
      <c r="A25" s="6"/>
      <c r="B25" s="36" t="s">
        <v>852</v>
      </c>
      <c r="C25" s="318">
        <f>Employees</f>
        <v>5000</v>
      </c>
      <c r="D25" s="605">
        <f>Revenue</f>
        <v>2233.5035673083048</v>
      </c>
      <c r="E25" s="317">
        <f>PCUsers</f>
        <v>2752.1929016722806</v>
      </c>
      <c r="F25" s="317">
        <f>PCs</f>
        <v>3275.109552990014</v>
      </c>
      <c r="G25" s="398"/>
      <c r="H25" s="398"/>
      <c r="I25" s="398"/>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row>
    <row r="26" spans="1:35" s="122" customFormat="1" outlineLevel="1">
      <c r="A26" s="398"/>
      <c r="B26" s="36" t="s">
        <v>853</v>
      </c>
      <c r="C26" s="295">
        <f>IF(EmployeesDefault=Employees,0,1)</f>
        <v>0</v>
      </c>
      <c r="D26" s="295">
        <f>IF(RevenueDefault=Revenue,0,1)</f>
        <v>0</v>
      </c>
      <c r="E26" s="295">
        <f>IF(PCUsersDefault=PCUsers,0,1)</f>
        <v>0</v>
      </c>
      <c r="F26" s="295">
        <f>IF(PCsDefault=PCs,0,1)</f>
        <v>0</v>
      </c>
      <c r="G26" s="398"/>
      <c r="H26" s="270"/>
      <c r="I26" s="270"/>
      <c r="J26" s="270"/>
      <c r="K26" s="337"/>
      <c r="L26" s="270"/>
      <c r="M26" s="270"/>
      <c r="N26" s="270"/>
      <c r="O26" s="270"/>
      <c r="P26" s="270"/>
      <c r="Q26" s="270"/>
      <c r="R26" s="270"/>
      <c r="S26" s="398"/>
      <c r="T26" s="398"/>
      <c r="U26" s="398"/>
      <c r="V26" s="398"/>
      <c r="W26" s="398"/>
      <c r="X26" s="398"/>
      <c r="Y26" s="398"/>
      <c r="Z26" s="398"/>
      <c r="AA26" s="398"/>
      <c r="AB26" s="398"/>
      <c r="AC26" s="398"/>
      <c r="AD26" s="398"/>
      <c r="AE26" s="398"/>
      <c r="AF26" s="398"/>
      <c r="AG26" s="398"/>
      <c r="AH26" s="398"/>
      <c r="AI26" s="398"/>
    </row>
    <row r="27" spans="1:35" s="122" customFormat="1" outlineLevel="1">
      <c r="A27" s="398"/>
      <c r="B27" s="36" t="s">
        <v>854</v>
      </c>
      <c r="C27" s="295"/>
      <c r="D27" s="295">
        <f>IF(AND(D26=1,C25=C33),1,0)</f>
        <v>0</v>
      </c>
      <c r="E27" s="295">
        <f>IF(AND(E26=1,C25=C34),1,0)</f>
        <v>0</v>
      </c>
      <c r="F27" s="295">
        <f>IF(AND(F26=1,C25=C35),1,0)</f>
        <v>0</v>
      </c>
      <c r="G27" s="398"/>
      <c r="H27" s="270"/>
      <c r="I27" s="270"/>
      <c r="J27" s="270"/>
      <c r="K27" s="337"/>
      <c r="L27" s="270"/>
      <c r="M27" s="270"/>
      <c r="N27" s="270"/>
      <c r="O27" s="270"/>
      <c r="P27" s="270"/>
      <c r="Q27" s="270"/>
      <c r="R27" s="270"/>
      <c r="S27" s="398"/>
      <c r="T27" s="398"/>
      <c r="U27" s="398"/>
      <c r="V27" s="398"/>
      <c r="W27" s="398"/>
      <c r="X27" s="398"/>
      <c r="Y27" s="398"/>
      <c r="Z27" s="398"/>
      <c r="AA27" s="398"/>
      <c r="AB27" s="398"/>
      <c r="AC27" s="398"/>
      <c r="AD27" s="398"/>
      <c r="AE27" s="398"/>
      <c r="AF27" s="398"/>
      <c r="AG27" s="398"/>
      <c r="AH27" s="398"/>
      <c r="AI27" s="398"/>
    </row>
    <row r="28" spans="1:35" s="122" customFormat="1" ht="15" outlineLevel="1">
      <c r="A28" s="6"/>
      <c r="B28" s="36" t="s">
        <v>855</v>
      </c>
      <c r="C28" s="318">
        <f>IF(SUM(D27:F27)=0,0,1)</f>
        <v>0</v>
      </c>
      <c r="D28" s="398"/>
      <c r="E28" s="398"/>
      <c r="F28" s="398"/>
      <c r="G28" s="398"/>
      <c r="H28" s="398"/>
      <c r="I28" s="398"/>
      <c r="J28" s="270"/>
      <c r="K28" s="337"/>
      <c r="L28" s="270"/>
      <c r="M28" s="270"/>
      <c r="N28" s="270"/>
      <c r="O28" s="270"/>
      <c r="P28" s="270"/>
      <c r="Q28" s="270"/>
      <c r="R28" s="270"/>
      <c r="S28" s="398"/>
      <c r="T28" s="398"/>
      <c r="U28" s="398"/>
      <c r="V28" s="398"/>
      <c r="W28" s="398"/>
      <c r="X28" s="398"/>
      <c r="Y28" s="398"/>
      <c r="Z28" s="398"/>
      <c r="AA28" s="398"/>
      <c r="AB28" s="398"/>
      <c r="AC28" s="398"/>
      <c r="AD28" s="398"/>
      <c r="AE28" s="398"/>
      <c r="AF28" s="398"/>
      <c r="AG28" s="398"/>
      <c r="AH28" s="398"/>
      <c r="AI28" s="398"/>
    </row>
    <row r="29" spans="1:35" s="122" customFormat="1" ht="15" outlineLevel="1">
      <c r="A29" s="6"/>
      <c r="B29" s="36" t="s">
        <v>856</v>
      </c>
      <c r="C29" s="318">
        <f>IF(AND(C24&lt;&gt;C25,C28=0),1,0)</f>
        <v>0</v>
      </c>
      <c r="D29" s="398"/>
      <c r="E29" s="398"/>
      <c r="F29" s="398"/>
      <c r="G29" s="398"/>
      <c r="H29" s="398"/>
      <c r="I29" s="398"/>
      <c r="J29" s="270"/>
      <c r="K29" s="337"/>
      <c r="L29" s="270"/>
      <c r="M29" s="270"/>
      <c r="N29" s="270"/>
      <c r="O29" s="270"/>
      <c r="P29" s="270"/>
      <c r="Q29" s="270"/>
      <c r="R29" s="270"/>
      <c r="S29" s="398"/>
      <c r="T29" s="398"/>
      <c r="U29" s="398"/>
      <c r="V29" s="398"/>
      <c r="W29" s="398"/>
      <c r="X29" s="398"/>
      <c r="Y29" s="398"/>
      <c r="Z29" s="398"/>
      <c r="AA29" s="398"/>
      <c r="AB29" s="398"/>
      <c r="AC29" s="398"/>
      <c r="AD29" s="398"/>
      <c r="AE29" s="398"/>
      <c r="AF29" s="398"/>
      <c r="AG29" s="398"/>
      <c r="AH29" s="398"/>
      <c r="AI29" s="398"/>
    </row>
    <row r="30" spans="1:35" s="122" customFormat="1" outlineLevel="1">
      <c r="A30" s="398"/>
      <c r="B30" s="36" t="s">
        <v>857</v>
      </c>
      <c r="C30" s="295" t="s">
        <v>858</v>
      </c>
      <c r="D30" s="295">
        <v>1</v>
      </c>
      <c r="E30" s="295">
        <v>1</v>
      </c>
      <c r="F30" s="295">
        <v>3</v>
      </c>
      <c r="G30" s="398"/>
      <c r="H30" s="270"/>
      <c r="I30" s="270"/>
      <c r="J30" s="270"/>
      <c r="K30" s="337"/>
      <c r="L30" s="270"/>
      <c r="M30" s="270"/>
      <c r="N30" s="270"/>
      <c r="O30" s="270"/>
      <c r="P30" s="270"/>
      <c r="Q30" s="270"/>
      <c r="R30" s="270"/>
      <c r="S30" s="398"/>
      <c r="T30" s="398"/>
      <c r="U30" s="398"/>
      <c r="V30" s="398"/>
      <c r="W30" s="398"/>
      <c r="X30" s="398"/>
      <c r="Y30" s="398"/>
      <c r="Z30" s="398"/>
      <c r="AA30" s="398"/>
      <c r="AB30" s="398"/>
      <c r="AC30" s="398"/>
      <c r="AD30" s="398"/>
      <c r="AE30" s="398"/>
      <c r="AF30" s="398"/>
      <c r="AG30" s="398"/>
      <c r="AH30" s="398"/>
      <c r="AI30" s="398"/>
    </row>
    <row r="31" spans="1:35" s="122" customFormat="1" outlineLevel="1">
      <c r="A31" s="398"/>
      <c r="B31" s="36" t="s">
        <v>859</v>
      </c>
      <c r="C31" s="295" t="s">
        <v>860</v>
      </c>
      <c r="D31" s="295">
        <v>34</v>
      </c>
      <c r="E31" s="295">
        <v>4</v>
      </c>
      <c r="F31" s="295" t="s">
        <v>861</v>
      </c>
      <c r="G31" s="398"/>
      <c r="H31" s="270"/>
      <c r="I31" s="270"/>
      <c r="J31" s="270"/>
      <c r="K31" s="337"/>
      <c r="L31" s="270"/>
      <c r="M31" s="270"/>
      <c r="N31" s="270"/>
      <c r="O31" s="270"/>
      <c r="P31" s="270"/>
      <c r="Q31" s="270"/>
      <c r="R31" s="270"/>
      <c r="S31" s="398"/>
      <c r="T31" s="398"/>
      <c r="U31" s="398"/>
      <c r="V31" s="398"/>
      <c r="W31" s="398"/>
      <c r="X31" s="398"/>
      <c r="Y31" s="398"/>
      <c r="Z31" s="398"/>
      <c r="AA31" s="398"/>
      <c r="AB31" s="398"/>
      <c r="AC31" s="398"/>
      <c r="AD31" s="398"/>
      <c r="AE31" s="398"/>
      <c r="AF31" s="398"/>
      <c r="AG31" s="398"/>
      <c r="AH31" s="398"/>
      <c r="AI31" s="398"/>
    </row>
    <row r="32" spans="1:35" s="122" customFormat="1" outlineLevel="1">
      <c r="A32" s="398"/>
      <c r="B32" s="377">
        <v>1</v>
      </c>
      <c r="C32" s="398"/>
      <c r="D32" s="398"/>
      <c r="E32" s="398"/>
      <c r="F32" s="398"/>
      <c r="G32" s="398"/>
      <c r="H32" s="270"/>
      <c r="I32" s="270"/>
      <c r="J32" s="270"/>
      <c r="K32" s="337"/>
      <c r="L32" s="270"/>
      <c r="M32" s="270"/>
      <c r="N32" s="270"/>
      <c r="O32" s="270"/>
      <c r="P32" s="270"/>
      <c r="Q32" s="270"/>
      <c r="R32" s="270"/>
      <c r="S32" s="398"/>
      <c r="T32" s="398"/>
      <c r="U32" s="398"/>
      <c r="V32" s="398"/>
      <c r="W32" s="398"/>
      <c r="X32" s="398"/>
      <c r="Y32" s="398"/>
      <c r="Z32" s="398"/>
      <c r="AA32" s="398"/>
      <c r="AB32" s="398"/>
      <c r="AC32" s="398"/>
      <c r="AD32" s="398"/>
      <c r="AE32" s="398"/>
      <c r="AF32" s="398"/>
      <c r="AG32" s="398"/>
      <c r="AH32" s="398"/>
      <c r="AI32" s="398"/>
    </row>
    <row r="33" spans="1:35" s="122" customFormat="1" outlineLevel="1">
      <c r="A33" s="398"/>
      <c r="B33" s="377">
        <v>2</v>
      </c>
      <c r="C33" s="61">
        <f>Revenue*1000000/Refrc!I14</f>
        <v>5000</v>
      </c>
      <c r="D33" s="398"/>
      <c r="E33" s="398"/>
      <c r="F33" s="398"/>
      <c r="G33" s="398"/>
      <c r="H33" s="270"/>
      <c r="I33" s="270"/>
      <c r="J33" s="270"/>
      <c r="K33" s="337"/>
      <c r="L33" s="270"/>
      <c r="M33" s="270"/>
      <c r="N33" s="270"/>
      <c r="O33" s="270"/>
      <c r="P33" s="270"/>
      <c r="Q33" s="270"/>
      <c r="R33" s="270"/>
      <c r="S33" s="398"/>
      <c r="T33" s="398"/>
      <c r="U33" s="398"/>
      <c r="V33" s="398"/>
      <c r="W33" s="398"/>
      <c r="X33" s="398"/>
      <c r="Y33" s="398"/>
      <c r="Z33" s="398"/>
      <c r="AA33" s="398"/>
      <c r="AB33" s="398"/>
      <c r="AC33" s="398"/>
      <c r="AD33" s="398"/>
      <c r="AE33" s="398"/>
      <c r="AF33" s="398"/>
      <c r="AG33" s="398"/>
      <c r="AH33" s="398"/>
      <c r="AI33" s="398"/>
    </row>
    <row r="34" spans="1:35" s="122" customFormat="1" outlineLevel="1">
      <c r="A34" s="398"/>
      <c r="B34" s="377">
        <v>3</v>
      </c>
      <c r="C34" s="61">
        <f>PCUsers/Refrc!$E$12</f>
        <v>5000</v>
      </c>
      <c r="D34" s="398"/>
      <c r="E34" s="398"/>
      <c r="F34" s="398"/>
      <c r="G34" s="398"/>
      <c r="H34" s="270"/>
      <c r="I34" s="270"/>
      <c r="J34" s="270"/>
      <c r="K34" s="337"/>
      <c r="L34" s="270"/>
      <c r="M34" s="270"/>
      <c r="N34" s="270"/>
      <c r="O34" s="270"/>
      <c r="P34" s="270"/>
      <c r="Q34" s="270"/>
      <c r="R34" s="270"/>
      <c r="S34" s="398"/>
      <c r="T34" s="398"/>
      <c r="U34" s="398"/>
      <c r="V34" s="398"/>
      <c r="W34" s="398"/>
      <c r="X34" s="398"/>
      <c r="Y34" s="398"/>
      <c r="Z34" s="398"/>
      <c r="AA34" s="398"/>
      <c r="AB34" s="398"/>
      <c r="AC34" s="398"/>
      <c r="AD34" s="398"/>
      <c r="AE34" s="398"/>
      <c r="AF34" s="398"/>
      <c r="AG34" s="398"/>
      <c r="AH34" s="398"/>
      <c r="AI34" s="398"/>
    </row>
    <row r="35" spans="1:35" s="122" customFormat="1" outlineLevel="1">
      <c r="A35" s="398"/>
      <c r="B35" s="377">
        <v>4</v>
      </c>
      <c r="C35" s="61">
        <f>PCs/Refrc!$E$13/Refrc!$E$12</f>
        <v>5000</v>
      </c>
      <c r="D35" s="398"/>
      <c r="E35" s="398"/>
      <c r="F35" s="398"/>
      <c r="G35" s="398"/>
      <c r="H35" s="270"/>
      <c r="I35" s="270"/>
      <c r="J35" s="270"/>
      <c r="K35" s="337"/>
      <c r="L35" s="270"/>
      <c r="M35" s="270"/>
      <c r="N35" s="270"/>
      <c r="O35" s="270"/>
      <c r="P35" s="270"/>
      <c r="Q35" s="270"/>
      <c r="R35" s="270"/>
      <c r="S35" s="398"/>
      <c r="T35" s="398"/>
      <c r="U35" s="398"/>
      <c r="V35" s="398"/>
      <c r="W35" s="398"/>
      <c r="X35" s="398"/>
      <c r="Y35" s="398"/>
      <c r="Z35" s="398"/>
      <c r="AA35" s="398"/>
      <c r="AB35" s="398"/>
      <c r="AC35" s="398"/>
      <c r="AD35" s="398"/>
      <c r="AE35" s="398"/>
      <c r="AF35" s="398"/>
      <c r="AG35" s="398"/>
      <c r="AH35" s="398"/>
      <c r="AI35" s="398"/>
    </row>
    <row r="36" spans="1:35" s="122" customFormat="1" outlineLevel="1">
      <c r="A36" s="398"/>
      <c r="B36" s="36" t="s">
        <v>862</v>
      </c>
      <c r="C36" s="319">
        <f>IF(OR(D26=1,E26=1,F26=1),1,0)</f>
        <v>0</v>
      </c>
      <c r="D36" s="398"/>
      <c r="E36" s="398"/>
      <c r="F36" s="398"/>
      <c r="G36" s="398"/>
      <c r="H36" s="270"/>
      <c r="I36" s="270"/>
      <c r="J36" s="270"/>
      <c r="K36" s="337"/>
      <c r="L36" s="270"/>
      <c r="M36" s="270"/>
      <c r="N36" s="270"/>
      <c r="O36" s="270"/>
      <c r="P36" s="270"/>
      <c r="Q36" s="270"/>
      <c r="R36" s="270"/>
      <c r="S36" s="398"/>
      <c r="T36" s="398"/>
      <c r="U36" s="398"/>
      <c r="V36" s="398"/>
      <c r="W36" s="398"/>
      <c r="X36" s="398"/>
      <c r="Y36" s="398"/>
      <c r="Z36" s="398"/>
      <c r="AA36" s="398"/>
      <c r="AB36" s="398"/>
      <c r="AC36" s="398"/>
      <c r="AD36" s="398"/>
      <c r="AE36" s="398"/>
      <c r="AF36" s="398"/>
      <c r="AG36" s="398"/>
      <c r="AH36" s="398"/>
      <c r="AI36" s="398"/>
    </row>
    <row r="37" spans="1:35" s="122" customFormat="1" ht="25.5" outlineLevel="1">
      <c r="A37" s="398"/>
      <c r="B37" s="36" t="s">
        <v>863</v>
      </c>
      <c r="C37" s="107">
        <f>IF(C36=1,IF(C29=1,0,1),0)</f>
        <v>0</v>
      </c>
      <c r="D37" s="107">
        <f>IF(OR(E26=1,F26=1),1,0)</f>
        <v>0</v>
      </c>
      <c r="E37" s="107">
        <f>IF(F26=1,1,0)</f>
        <v>0</v>
      </c>
      <c r="F37" s="398"/>
      <c r="G37" s="398"/>
      <c r="H37" s="270"/>
      <c r="I37" s="270"/>
      <c r="J37" s="270"/>
      <c r="K37" s="337"/>
      <c r="L37" s="270"/>
      <c r="M37" s="270"/>
      <c r="N37" s="270"/>
      <c r="O37" s="270"/>
      <c r="P37" s="270"/>
      <c r="Q37" s="270"/>
      <c r="R37" s="270"/>
      <c r="S37" s="398"/>
      <c r="T37" s="398"/>
      <c r="U37" s="398"/>
      <c r="V37" s="398"/>
      <c r="W37" s="398"/>
      <c r="X37" s="398"/>
      <c r="Y37" s="398"/>
      <c r="Z37" s="398"/>
      <c r="AA37" s="398"/>
      <c r="AB37" s="398"/>
      <c r="AC37" s="398"/>
      <c r="AD37" s="398"/>
      <c r="AE37" s="398"/>
      <c r="AF37" s="398"/>
      <c r="AG37" s="398"/>
      <c r="AH37" s="398"/>
      <c r="AI37" s="398"/>
    </row>
    <row r="38" spans="1:35" s="122" customFormat="1" outlineLevel="1">
      <c r="A38" s="398"/>
      <c r="B38" s="36" t="s">
        <v>864</v>
      </c>
      <c r="C38" s="107">
        <f>IF(D26=1,2,IF(E26=1,3,IF(F26,4,0)))</f>
        <v>0</v>
      </c>
      <c r="D38" s="107">
        <f>IF(E26=1,2,IF(F26=1,3,IF(G26,4,0)))</f>
        <v>0</v>
      </c>
      <c r="E38" s="107">
        <f>IF(F26=1,2,IF(G26=1,3,IF(H26,4,0)))</f>
        <v>0</v>
      </c>
      <c r="F38" s="398"/>
      <c r="G38" s="398"/>
      <c r="H38" s="270"/>
      <c r="I38" s="270"/>
      <c r="J38" s="270"/>
      <c r="K38" s="337"/>
      <c r="L38" s="270"/>
      <c r="M38" s="270"/>
      <c r="N38" s="270"/>
      <c r="O38" s="270"/>
      <c r="P38" s="270"/>
      <c r="Q38" s="270"/>
      <c r="R38" s="270"/>
      <c r="S38" s="398"/>
      <c r="T38" s="398"/>
      <c r="U38" s="398"/>
      <c r="V38" s="398"/>
      <c r="W38" s="398"/>
      <c r="X38" s="398"/>
      <c r="Y38" s="398"/>
      <c r="Z38" s="398"/>
      <c r="AA38" s="398"/>
      <c r="AB38" s="398"/>
      <c r="AC38" s="398"/>
      <c r="AD38" s="398"/>
      <c r="AE38" s="398"/>
      <c r="AF38" s="398"/>
      <c r="AG38" s="398"/>
      <c r="AH38" s="398"/>
      <c r="AI38" s="398"/>
    </row>
    <row r="39" spans="1:35" s="122" customFormat="1" outlineLevel="1">
      <c r="A39" s="398"/>
      <c r="B39" s="36" t="s">
        <v>865</v>
      </c>
      <c r="C39" s="338" t="s">
        <v>866</v>
      </c>
      <c r="D39" s="338" t="s">
        <v>867</v>
      </c>
      <c r="E39" s="338" t="s">
        <v>868</v>
      </c>
      <c r="F39" s="398"/>
      <c r="G39" s="398"/>
      <c r="H39" s="270"/>
      <c r="I39" s="270"/>
      <c r="J39" s="270"/>
      <c r="K39" s="337"/>
      <c r="L39" s="270"/>
      <c r="M39" s="270"/>
      <c r="N39" s="270"/>
      <c r="O39" s="270"/>
      <c r="P39" s="270"/>
      <c r="Q39" s="270"/>
      <c r="R39" s="270"/>
      <c r="S39" s="398"/>
      <c r="T39" s="398"/>
      <c r="U39" s="398"/>
      <c r="V39" s="398"/>
      <c r="W39" s="398"/>
      <c r="X39" s="398"/>
      <c r="Y39" s="398"/>
      <c r="Z39" s="398"/>
      <c r="AA39" s="398"/>
      <c r="AB39" s="398"/>
      <c r="AC39" s="398"/>
      <c r="AD39" s="398"/>
      <c r="AE39" s="398"/>
      <c r="AF39" s="398"/>
      <c r="AG39" s="398"/>
      <c r="AH39" s="398"/>
      <c r="AI39" s="398"/>
    </row>
    <row r="40" spans="1:35" s="122" customFormat="1" outlineLevel="1">
      <c r="A40" s="398"/>
      <c r="B40" s="398"/>
      <c r="C40" s="339"/>
      <c r="D40" s="398"/>
      <c r="E40" s="398"/>
      <c r="F40" s="398"/>
      <c r="G40" s="398"/>
      <c r="H40" s="270"/>
      <c r="I40" s="270"/>
      <c r="J40" s="270"/>
      <c r="K40" s="337"/>
      <c r="L40" s="270"/>
      <c r="M40" s="270"/>
      <c r="N40" s="270"/>
      <c r="O40" s="270"/>
      <c r="P40" s="270"/>
      <c r="Q40" s="270"/>
      <c r="R40" s="270"/>
      <c r="S40" s="398"/>
      <c r="T40" s="398"/>
      <c r="U40" s="398"/>
      <c r="V40" s="398"/>
      <c r="W40" s="398"/>
      <c r="X40" s="398"/>
      <c r="Y40" s="398"/>
      <c r="Z40" s="398"/>
      <c r="AA40" s="398"/>
      <c r="AB40" s="398"/>
      <c r="AC40" s="398"/>
      <c r="AD40" s="398"/>
      <c r="AE40" s="398"/>
      <c r="AF40" s="398"/>
      <c r="AG40" s="398"/>
      <c r="AH40" s="398"/>
      <c r="AI40" s="398"/>
    </row>
    <row r="41" spans="1:35" s="122" customFormat="1" outlineLevel="1">
      <c r="A41" s="398"/>
      <c r="B41" s="378" t="s">
        <v>869</v>
      </c>
      <c r="C41" s="398">
        <v>1</v>
      </c>
      <c r="D41" s="398"/>
      <c r="E41" s="398"/>
      <c r="F41" s="398"/>
      <c r="G41" s="398"/>
      <c r="H41" s="270"/>
      <c r="I41" s="270"/>
      <c r="J41" s="270"/>
      <c r="K41" s="337"/>
      <c r="L41" s="270"/>
      <c r="M41" s="270"/>
      <c r="N41" s="270"/>
      <c r="O41" s="270"/>
      <c r="P41" s="270"/>
      <c r="Q41" s="270"/>
      <c r="R41" s="270"/>
      <c r="S41" s="398"/>
      <c r="T41" s="398"/>
      <c r="U41" s="398"/>
      <c r="V41" s="398"/>
      <c r="W41" s="398"/>
      <c r="X41" s="398"/>
      <c r="Y41" s="398"/>
      <c r="Z41" s="398"/>
      <c r="AA41" s="398"/>
      <c r="AB41" s="398"/>
      <c r="AC41" s="398"/>
      <c r="AD41" s="398"/>
      <c r="AE41" s="398"/>
      <c r="AF41" s="398"/>
      <c r="AG41" s="398"/>
      <c r="AH41" s="398"/>
      <c r="AI41" s="398"/>
    </row>
    <row r="42" spans="1:35" s="122" customFormat="1" outlineLevel="1">
      <c r="A42" s="398"/>
      <c r="B42" s="398"/>
      <c r="C42" s="398"/>
      <c r="D42" s="398"/>
      <c r="E42" s="398"/>
      <c r="F42" s="398"/>
      <c r="G42" s="398"/>
      <c r="H42" s="270"/>
      <c r="I42" s="270"/>
      <c r="J42" s="270"/>
      <c r="K42" s="337"/>
      <c r="L42" s="270"/>
      <c r="M42" s="270"/>
      <c r="N42" s="270"/>
      <c r="O42" s="270"/>
      <c r="P42" s="270"/>
      <c r="Q42" s="270"/>
      <c r="R42" s="270"/>
      <c r="S42" s="398"/>
      <c r="T42" s="398"/>
      <c r="U42" s="398"/>
      <c r="V42" s="398"/>
      <c r="W42" s="398"/>
      <c r="X42" s="398"/>
      <c r="Y42" s="398"/>
      <c r="Z42" s="398"/>
      <c r="AA42" s="398"/>
      <c r="AB42" s="398"/>
      <c r="AC42" s="398"/>
      <c r="AD42" s="398"/>
      <c r="AE42" s="398"/>
      <c r="AF42" s="398"/>
      <c r="AG42" s="398"/>
      <c r="AH42" s="398"/>
      <c r="AI42" s="398"/>
    </row>
    <row r="43" spans="1:35" s="122" customFormat="1" outlineLevel="1">
      <c r="A43" s="398"/>
      <c r="B43" s="398"/>
      <c r="C43" s="398"/>
      <c r="D43" s="398"/>
      <c r="E43" s="398"/>
      <c r="F43" s="398"/>
      <c r="G43" s="398"/>
      <c r="H43" s="270"/>
      <c r="I43" s="270"/>
      <c r="J43" s="270"/>
      <c r="K43" s="337"/>
      <c r="L43" s="270"/>
      <c r="M43" s="270"/>
      <c r="N43" s="270"/>
      <c r="O43" s="270"/>
      <c r="P43" s="270"/>
      <c r="Q43" s="270"/>
      <c r="R43" s="270"/>
      <c r="S43" s="398"/>
      <c r="T43" s="398"/>
      <c r="U43" s="398"/>
      <c r="V43" s="398"/>
      <c r="W43" s="398"/>
      <c r="X43" s="398"/>
      <c r="Y43" s="398"/>
      <c r="Z43" s="398"/>
      <c r="AA43" s="398"/>
      <c r="AB43" s="398"/>
      <c r="AC43" s="398"/>
      <c r="AD43" s="398"/>
      <c r="AE43" s="398"/>
      <c r="AF43" s="398"/>
      <c r="AG43" s="398"/>
      <c r="AH43" s="398"/>
      <c r="AI43" s="398"/>
    </row>
    <row r="44" spans="1:35" s="59" customFormat="1" outlineLevel="1">
      <c r="A44" s="398"/>
      <c r="B44" s="398"/>
      <c r="C44" s="398"/>
      <c r="D44" s="398"/>
      <c r="E44" s="398"/>
      <c r="F44" s="398"/>
      <c r="G44" s="398"/>
      <c r="H44" s="398"/>
      <c r="I44" s="270"/>
      <c r="J44" s="270"/>
      <c r="K44" s="270"/>
      <c r="L44" s="270"/>
      <c r="M44" s="270"/>
      <c r="N44" s="270"/>
      <c r="O44" s="270"/>
      <c r="P44" s="270"/>
      <c r="Q44" s="270"/>
      <c r="R44" s="270"/>
      <c r="S44" s="398"/>
      <c r="T44" s="398"/>
      <c r="U44" s="398"/>
      <c r="V44" s="398"/>
      <c r="W44" s="398"/>
      <c r="X44" s="398"/>
      <c r="Y44" s="398"/>
      <c r="Z44" s="398"/>
      <c r="AA44" s="398"/>
      <c r="AB44" s="398"/>
      <c r="AC44" s="398"/>
      <c r="AD44" s="398"/>
      <c r="AE44" s="398"/>
      <c r="AF44" s="398"/>
      <c r="AG44" s="398"/>
      <c r="AH44" s="398"/>
      <c r="AI44" s="398"/>
    </row>
    <row r="45" spans="1:35" s="59" customFormat="1" ht="25.5" outlineLevel="1">
      <c r="A45" s="6" t="s">
        <v>846</v>
      </c>
      <c r="B45" s="398"/>
      <c r="C45" s="398"/>
      <c r="D45" s="398"/>
      <c r="E45" s="671" t="s">
        <v>870</v>
      </c>
      <c r="F45" s="671" t="s">
        <v>871</v>
      </c>
      <c r="G45" s="671"/>
      <c r="H45" s="671" t="s">
        <v>872</v>
      </c>
      <c r="I45" s="671" t="s">
        <v>873</v>
      </c>
      <c r="J45" s="671" t="s">
        <v>874</v>
      </c>
      <c r="K45" s="270"/>
      <c r="L45" s="270"/>
      <c r="M45" s="270"/>
      <c r="N45" s="270"/>
      <c r="O45" s="270"/>
      <c r="P45" s="270"/>
      <c r="Q45" s="270"/>
      <c r="R45" s="270"/>
      <c r="S45" s="398"/>
      <c r="T45" s="398"/>
      <c r="U45" s="398"/>
      <c r="V45" s="398"/>
      <c r="W45" s="398"/>
      <c r="X45" s="398"/>
      <c r="Y45" s="398"/>
      <c r="Z45" s="398"/>
      <c r="AA45" s="398"/>
      <c r="AB45" s="398"/>
      <c r="AC45" s="398"/>
      <c r="AD45" s="398"/>
      <c r="AE45" s="398"/>
      <c r="AF45" s="398"/>
      <c r="AG45" s="398"/>
      <c r="AH45" s="398"/>
      <c r="AI45" s="398"/>
    </row>
    <row r="46" spans="1:35" outlineLevel="1">
      <c r="A46" s="398"/>
      <c r="B46" s="36" t="s">
        <v>875</v>
      </c>
      <c r="C46" s="398"/>
      <c r="D46" s="398"/>
      <c r="E46" s="697">
        <f>Y95</f>
        <v>12845.37</v>
      </c>
      <c r="F46" s="154">
        <f>C115</f>
        <v>1.0609468386284995</v>
      </c>
      <c r="G46" s="107" t="s">
        <v>876</v>
      </c>
      <c r="H46" s="539">
        <f>E46*F46</f>
        <v>13628.254692513368</v>
      </c>
      <c r="I46" s="539">
        <f>H46*Employees/1000</f>
        <v>68141.273462566838</v>
      </c>
      <c r="J46" s="149">
        <v>0.4</v>
      </c>
      <c r="K46" s="270"/>
      <c r="L46" s="270"/>
      <c r="M46" s="270"/>
      <c r="N46" s="270"/>
      <c r="O46" s="270"/>
      <c r="P46" s="270"/>
      <c r="Q46" s="270"/>
      <c r="R46" s="270"/>
      <c r="S46" s="398"/>
      <c r="T46" s="398"/>
      <c r="U46" s="398"/>
      <c r="V46" s="398"/>
      <c r="W46" s="398"/>
      <c r="X46" s="398"/>
      <c r="Y46" s="398"/>
      <c r="Z46" s="398"/>
      <c r="AA46" s="398"/>
      <c r="AB46" s="398"/>
      <c r="AC46" s="398"/>
      <c r="AD46" s="398"/>
      <c r="AE46" s="398"/>
      <c r="AF46" s="398"/>
      <c r="AG46" s="398"/>
      <c r="AH46" s="398"/>
      <c r="AI46" s="398"/>
    </row>
    <row r="47" spans="1:35" s="59" customFormat="1" outlineLevel="1">
      <c r="A47" s="398"/>
      <c r="B47" s="36" t="s">
        <v>877</v>
      </c>
      <c r="C47" s="398"/>
      <c r="D47" s="398"/>
      <c r="E47" s="149">
        <f>Z94</f>
        <v>3.4490260631001378E-2</v>
      </c>
      <c r="F47" s="149">
        <f>D115</f>
        <v>2.0000000000000018E-3</v>
      </c>
      <c r="G47" s="270" t="s">
        <v>878</v>
      </c>
      <c r="H47" s="149">
        <f>E47+F47</f>
        <v>3.649026063100138E-2</v>
      </c>
      <c r="I47" s="539">
        <f>H47*Revenue*1000</f>
        <v>81501.127291351382</v>
      </c>
      <c r="J47" s="149">
        <v>0.3</v>
      </c>
      <c r="K47" s="270"/>
      <c r="L47" s="270"/>
      <c r="M47" s="270"/>
      <c r="N47" s="270"/>
      <c r="O47" s="270"/>
      <c r="P47" s="270"/>
      <c r="Q47" s="270"/>
      <c r="R47" s="270"/>
      <c r="S47" s="398"/>
      <c r="T47" s="398"/>
      <c r="U47" s="398"/>
      <c r="V47" s="398"/>
      <c r="W47" s="398"/>
      <c r="X47" s="398"/>
      <c r="Y47" s="398"/>
      <c r="Z47" s="398"/>
      <c r="AA47" s="398"/>
      <c r="AB47" s="398"/>
      <c r="AC47" s="398"/>
      <c r="AD47" s="398"/>
      <c r="AE47" s="398"/>
      <c r="AF47" s="398"/>
      <c r="AG47" s="398"/>
      <c r="AH47" s="398"/>
      <c r="AI47" s="398"/>
    </row>
    <row r="48" spans="1:35" s="59" customFormat="1" ht="13.5" outlineLevel="1" thickBot="1">
      <c r="A48" s="398"/>
      <c r="B48" s="36" t="s">
        <v>879</v>
      </c>
      <c r="C48" s="398"/>
      <c r="D48" s="398"/>
      <c r="E48" s="149">
        <f>AA94</f>
        <v>4.9999999999999996E-2</v>
      </c>
      <c r="F48" s="149">
        <f>E115</f>
        <v>1.0000000000000078E-3</v>
      </c>
      <c r="G48" s="270" t="s">
        <v>878</v>
      </c>
      <c r="H48" s="149">
        <f>E48+F48</f>
        <v>5.1000000000000004E-2</v>
      </c>
      <c r="I48" s="539">
        <f>(1-Margin)*Revenue*H48*1000</f>
        <v>94509.709149320552</v>
      </c>
      <c r="J48" s="149">
        <v>0.3</v>
      </c>
      <c r="K48" s="398"/>
      <c r="L48" s="398"/>
      <c r="M48" s="398"/>
      <c r="N48" s="398"/>
      <c r="O48" s="398"/>
      <c r="P48" s="398"/>
      <c r="Q48" s="398"/>
      <c r="R48" s="398"/>
      <c r="S48" s="398"/>
      <c r="T48" s="398"/>
      <c r="U48" s="398"/>
      <c r="V48" s="398"/>
      <c r="W48" s="398"/>
      <c r="X48" s="398"/>
      <c r="Y48" s="398"/>
      <c r="Z48" s="398"/>
      <c r="AA48" s="398"/>
      <c r="AB48" s="398"/>
      <c r="AC48" s="398"/>
      <c r="AD48" s="398"/>
      <c r="AE48" s="398"/>
      <c r="AF48" s="398"/>
      <c r="AG48" s="398"/>
      <c r="AH48" s="398"/>
      <c r="AI48" s="398"/>
    </row>
    <row r="49" spans="1:35" s="75" customFormat="1" ht="13.5" outlineLevel="1" thickTop="1">
      <c r="A49" s="398"/>
      <c r="B49" s="36" t="s">
        <v>880</v>
      </c>
      <c r="C49" s="398"/>
      <c r="D49" s="398"/>
      <c r="E49" s="398"/>
      <c r="F49" s="398"/>
      <c r="G49" s="398"/>
      <c r="H49" s="398"/>
      <c r="I49" s="550">
        <f>SUMPRODUCT(I46:I48,J46:J48)</f>
        <v>80059.760317228312</v>
      </c>
      <c r="J49" s="69">
        <f>SUM(J46:J48)</f>
        <v>1</v>
      </c>
      <c r="K49" s="398"/>
      <c r="L49" s="398"/>
      <c r="M49" s="398"/>
      <c r="N49" s="398"/>
      <c r="O49" s="398"/>
      <c r="P49" s="398"/>
      <c r="Q49" s="398"/>
      <c r="R49" s="398"/>
      <c r="S49" s="398"/>
      <c r="T49" s="398"/>
      <c r="U49" s="398"/>
      <c r="V49" s="398"/>
      <c r="W49" s="398"/>
      <c r="X49" s="398"/>
      <c r="Y49" s="398"/>
      <c r="Z49" s="398"/>
      <c r="AA49" s="398"/>
      <c r="AB49" s="398"/>
      <c r="AC49" s="398"/>
      <c r="AD49" s="398"/>
      <c r="AE49" s="398"/>
      <c r="AF49" s="398"/>
      <c r="AG49" s="398"/>
      <c r="AH49" s="398"/>
      <c r="AI49" s="398"/>
    </row>
    <row r="50" spans="1:35" s="105" customFormat="1" outlineLevel="1">
      <c r="A50" s="398"/>
      <c r="B50" s="36" t="s">
        <v>881</v>
      </c>
      <c r="C50" s="398"/>
      <c r="D50" s="398"/>
      <c r="E50" s="398"/>
      <c r="F50" s="398"/>
      <c r="G50" s="398"/>
      <c r="H50" s="398"/>
      <c r="I50" s="149">
        <v>0.5</v>
      </c>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row>
    <row r="51" spans="1:35" s="105" customFormat="1" ht="13.5" outlineLevel="1" thickBot="1">
      <c r="A51" s="398"/>
      <c r="B51" s="36" t="s">
        <v>882</v>
      </c>
      <c r="C51" s="398"/>
      <c r="D51" s="398"/>
      <c r="E51" s="398"/>
      <c r="F51" s="398"/>
      <c r="G51" s="398"/>
      <c r="H51" s="398"/>
      <c r="I51" s="149">
        <f>D271</f>
        <v>1.0375000000000001</v>
      </c>
      <c r="J51" s="398"/>
      <c r="K51" s="398"/>
      <c r="L51" s="398"/>
      <c r="M51" s="398"/>
      <c r="N51" s="398"/>
      <c r="O51" s="398"/>
      <c r="P51" s="398"/>
      <c r="Q51" s="398"/>
      <c r="R51" s="398"/>
      <c r="S51" s="398"/>
      <c r="T51" s="398"/>
      <c r="U51" s="398"/>
      <c r="V51" s="398"/>
      <c r="W51" s="398"/>
      <c r="X51" s="398"/>
      <c r="Y51" s="398"/>
      <c r="Z51" s="398"/>
      <c r="AA51" s="398"/>
      <c r="AB51" s="398"/>
      <c r="AC51" s="398"/>
      <c r="AD51" s="398"/>
      <c r="AE51" s="398"/>
      <c r="AF51" s="398"/>
      <c r="AG51" s="398"/>
      <c r="AH51" s="398"/>
      <c r="AI51" s="398"/>
    </row>
    <row r="52" spans="1:35" s="75" customFormat="1" ht="13.5" outlineLevel="1" thickTop="1">
      <c r="A52" s="398"/>
      <c r="B52" s="36" t="s">
        <v>883</v>
      </c>
      <c r="C52" s="398"/>
      <c r="D52" s="398"/>
      <c r="E52" s="398"/>
      <c r="F52" s="398"/>
      <c r="G52" s="398"/>
      <c r="H52" s="398"/>
      <c r="I52" s="550">
        <f>I49*I50*I51</f>
        <v>41531.000664562191</v>
      </c>
      <c r="J52" s="270"/>
      <c r="K52" s="398"/>
      <c r="L52" s="398"/>
      <c r="M52" s="398"/>
      <c r="N52" s="398"/>
      <c r="O52" s="398"/>
      <c r="P52" s="398"/>
      <c r="Q52" s="398"/>
      <c r="R52" s="398"/>
      <c r="S52" s="398"/>
      <c r="T52" s="398"/>
      <c r="U52" s="398"/>
      <c r="V52" s="398"/>
      <c r="W52" s="398"/>
      <c r="X52" s="398"/>
      <c r="Y52" s="398"/>
      <c r="Z52" s="398"/>
      <c r="AA52" s="398"/>
      <c r="AB52" s="398"/>
      <c r="AC52" s="398"/>
      <c r="AD52" s="398"/>
      <c r="AE52" s="398"/>
      <c r="AF52" s="398"/>
      <c r="AG52" s="398"/>
      <c r="AH52" s="398"/>
      <c r="AI52" s="398"/>
    </row>
    <row r="53" spans="1:35" s="75" customFormat="1" ht="15" outlineLevel="1">
      <c r="A53" s="6" t="s">
        <v>884</v>
      </c>
      <c r="B53" s="398"/>
      <c r="C53" s="398"/>
      <c r="D53" s="398"/>
      <c r="E53" s="398"/>
      <c r="F53" s="398"/>
      <c r="G53" s="398"/>
      <c r="H53" s="398"/>
      <c r="I53" s="270"/>
      <c r="J53" s="270"/>
      <c r="K53" s="270"/>
      <c r="L53" s="270"/>
      <c r="M53" s="270"/>
      <c r="N53" s="270"/>
      <c r="O53" s="270"/>
      <c r="P53" s="270"/>
      <c r="Q53" s="270"/>
      <c r="R53" s="270"/>
      <c r="S53" s="398"/>
      <c r="T53" s="398"/>
      <c r="U53" s="398"/>
      <c r="V53" s="398"/>
      <c r="W53" s="398"/>
      <c r="X53" s="398"/>
      <c r="Y53" s="398"/>
      <c r="Z53" s="398"/>
      <c r="AA53" s="398"/>
      <c r="AB53" s="398"/>
      <c r="AC53" s="398"/>
      <c r="AD53" s="398"/>
      <c r="AE53" s="398"/>
      <c r="AF53" s="398"/>
      <c r="AG53" s="398"/>
      <c r="AH53" s="398"/>
      <c r="AI53" s="398"/>
    </row>
    <row r="54" spans="1:35" s="75" customFormat="1" ht="15" outlineLevel="1">
      <c r="A54" s="6"/>
      <c r="B54" s="378" t="s">
        <v>885</v>
      </c>
      <c r="C54" s="697">
        <f>ITFTECost</f>
        <v>114588.38095352858</v>
      </c>
      <c r="D54" s="398"/>
      <c r="E54" s="398"/>
      <c r="F54" s="398"/>
      <c r="G54" s="398"/>
      <c r="H54" s="398"/>
      <c r="I54" s="270"/>
      <c r="J54" s="270"/>
      <c r="K54" s="270"/>
      <c r="L54" s="270"/>
      <c r="M54" s="270"/>
      <c r="N54" s="270"/>
      <c r="O54" s="270"/>
      <c r="P54" s="270"/>
      <c r="Q54" s="270"/>
      <c r="R54" s="270"/>
      <c r="S54" s="398"/>
      <c r="T54" s="398"/>
      <c r="U54" s="398"/>
      <c r="V54" s="398"/>
      <c r="W54" s="398"/>
      <c r="X54" s="398"/>
      <c r="Y54" s="398"/>
      <c r="Z54" s="398"/>
      <c r="AA54" s="398"/>
      <c r="AB54" s="398"/>
      <c r="AC54" s="398"/>
      <c r="AD54" s="398"/>
      <c r="AE54" s="398"/>
      <c r="AF54" s="398"/>
      <c r="AG54" s="398"/>
      <c r="AH54" s="398"/>
      <c r="AI54" s="398"/>
    </row>
    <row r="55" spans="1:35" s="75" customFormat="1" ht="25.5" outlineLevel="1">
      <c r="A55" s="398"/>
      <c r="B55" s="36" t="s">
        <v>886</v>
      </c>
      <c r="C55" s="398"/>
      <c r="D55" s="398"/>
      <c r="E55" s="149">
        <f>AC94</f>
        <v>0.32900000000000001</v>
      </c>
      <c r="F55" s="154">
        <f>F115</f>
        <v>5.0000000000000044E-2</v>
      </c>
      <c r="G55" s="270" t="s">
        <v>878</v>
      </c>
      <c r="H55" s="149">
        <f>E55+F55</f>
        <v>0.37900000000000006</v>
      </c>
      <c r="I55" s="61">
        <f>ITSpend*H55*1000/C54</f>
        <v>137.36339688971211</v>
      </c>
      <c r="J55" s="149">
        <v>0.5</v>
      </c>
      <c r="K55" s="398"/>
      <c r="L55" s="398"/>
      <c r="M55" s="398"/>
      <c r="N55" s="398"/>
      <c r="O55" s="398"/>
      <c r="P55" s="398"/>
      <c r="Q55" s="398"/>
      <c r="R55" s="398"/>
      <c r="S55" s="398"/>
      <c r="T55" s="398"/>
      <c r="U55" s="398"/>
      <c r="V55" s="398"/>
      <c r="W55" s="398"/>
      <c r="X55" s="398"/>
      <c r="Y55" s="398"/>
      <c r="Z55" s="398"/>
      <c r="AA55" s="398"/>
      <c r="AB55" s="398"/>
      <c r="AC55" s="398"/>
      <c r="AD55" s="398"/>
      <c r="AE55" s="398"/>
      <c r="AF55" s="398"/>
      <c r="AG55" s="398"/>
      <c r="AH55" s="398"/>
      <c r="AI55" s="398"/>
    </row>
    <row r="56" spans="1:35" s="75" customFormat="1" outlineLevel="1">
      <c r="A56" s="398"/>
      <c r="B56" s="36" t="s">
        <v>887</v>
      </c>
      <c r="C56" s="398"/>
      <c r="D56" s="398"/>
      <c r="E56" s="149">
        <f>AB94</f>
        <v>4.504394845590115E-2</v>
      </c>
      <c r="F56" s="149">
        <f>G115</f>
        <v>2.9999999999999957E-3</v>
      </c>
      <c r="G56" s="270" t="s">
        <v>878</v>
      </c>
      <c r="H56" s="149">
        <f>E56+F56</f>
        <v>4.8043948455901146E-2</v>
      </c>
      <c r="I56" s="61">
        <f>Employees*H56</f>
        <v>240.21974227950574</v>
      </c>
      <c r="J56" s="149">
        <v>0.5</v>
      </c>
      <c r="K56" s="398"/>
      <c r="L56" s="398"/>
      <c r="M56" s="398"/>
      <c r="N56" s="398"/>
      <c r="O56" s="398"/>
      <c r="P56" s="398"/>
      <c r="Q56" s="398"/>
      <c r="R56" s="398"/>
      <c r="S56" s="398"/>
      <c r="T56" s="398"/>
      <c r="U56" s="398"/>
      <c r="V56" s="398"/>
      <c r="W56" s="398"/>
      <c r="X56" s="398"/>
      <c r="Y56" s="398"/>
      <c r="Z56" s="398"/>
      <c r="AA56" s="398"/>
      <c r="AB56" s="398"/>
      <c r="AC56" s="398"/>
      <c r="AD56" s="398"/>
      <c r="AE56" s="398"/>
      <c r="AF56" s="398"/>
      <c r="AG56" s="398"/>
      <c r="AH56" s="398"/>
      <c r="AI56" s="398"/>
    </row>
    <row r="57" spans="1:35" s="105" customFormat="1" ht="13.5" outlineLevel="1" thickBot="1">
      <c r="A57" s="398"/>
      <c r="B57" s="36" t="s">
        <v>888</v>
      </c>
      <c r="C57" s="398"/>
      <c r="D57" s="398"/>
      <c r="E57" s="398"/>
      <c r="F57" s="398"/>
      <c r="G57" s="398"/>
      <c r="H57" s="398"/>
      <c r="I57" s="149">
        <v>0.5</v>
      </c>
      <c r="J57" s="398"/>
      <c r="K57" s="398"/>
      <c r="L57" s="398"/>
      <c r="M57" s="398"/>
      <c r="N57" s="398"/>
      <c r="O57" s="398"/>
      <c r="P57" s="398"/>
      <c r="Q57" s="398"/>
      <c r="R57" s="398"/>
      <c r="S57" s="398"/>
      <c r="T57" s="398"/>
      <c r="U57" s="398"/>
      <c r="V57" s="398"/>
      <c r="W57" s="398"/>
      <c r="X57" s="398"/>
      <c r="Y57" s="398"/>
      <c r="Z57" s="398"/>
      <c r="AA57" s="398"/>
      <c r="AB57" s="398"/>
      <c r="AC57" s="398"/>
      <c r="AD57" s="398"/>
      <c r="AE57" s="398"/>
      <c r="AF57" s="398"/>
      <c r="AG57" s="398"/>
      <c r="AH57" s="398"/>
      <c r="AI57" s="398"/>
    </row>
    <row r="58" spans="1:35" s="75" customFormat="1" ht="13.5" outlineLevel="1" thickTop="1">
      <c r="A58" s="398"/>
      <c r="B58" s="36" t="s">
        <v>889</v>
      </c>
      <c r="C58" s="398"/>
      <c r="D58" s="398"/>
      <c r="E58" s="398"/>
      <c r="F58" s="398"/>
      <c r="G58" s="398"/>
      <c r="H58" s="398"/>
      <c r="I58" s="62">
        <f>SUMPRODUCT(I55:I56,J55:J56)/J58*(1-I57)</f>
        <v>94.395784792304454</v>
      </c>
      <c r="J58" s="69">
        <f>SUM(J55:J56)</f>
        <v>1</v>
      </c>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398"/>
      <c r="AH58" s="398"/>
      <c r="AI58" s="398"/>
    </row>
    <row r="59" spans="1:35" s="59" customFormat="1" outlineLevel="1">
      <c r="A59" s="398"/>
      <c r="B59" s="398"/>
      <c r="C59" s="398"/>
      <c r="D59" s="398"/>
      <c r="E59" s="398"/>
      <c r="F59" s="398"/>
      <c r="G59" s="398"/>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8"/>
      <c r="AH59" s="398"/>
      <c r="AI59" s="398"/>
    </row>
    <row r="60" spans="1:35" ht="22.5">
      <c r="A60" s="29" t="s">
        <v>756</v>
      </c>
      <c r="B60" s="398"/>
      <c r="C60" s="398"/>
      <c r="D60" s="398"/>
      <c r="E60" s="398"/>
      <c r="F60" s="398"/>
      <c r="G60" s="398"/>
      <c r="H60" s="398"/>
      <c r="I60" s="398"/>
      <c r="J60" s="398"/>
      <c r="K60" s="398"/>
      <c r="L60" s="398"/>
      <c r="M60" s="398"/>
      <c r="N60" s="398"/>
      <c r="O60" s="398"/>
      <c r="P60" s="398"/>
      <c r="Q60" s="398"/>
      <c r="R60" s="398"/>
      <c r="S60" s="148"/>
      <c r="T60" s="398"/>
      <c r="U60" s="398"/>
      <c r="V60" s="398"/>
      <c r="W60" s="398"/>
      <c r="X60" s="398"/>
      <c r="Y60" s="398"/>
      <c r="Z60" s="398"/>
      <c r="AA60" s="398"/>
      <c r="AB60" s="398"/>
      <c r="AC60" s="398"/>
      <c r="AD60" s="398"/>
      <c r="AE60" s="398"/>
      <c r="AF60" s="398"/>
      <c r="AG60" s="398"/>
      <c r="AH60" s="398"/>
      <c r="AI60" s="398"/>
    </row>
    <row r="61" spans="1:35" outlineLevel="1">
      <c r="A61" s="398"/>
      <c r="B61" s="398"/>
      <c r="C61" s="398"/>
      <c r="D61" s="315"/>
      <c r="E61" s="315"/>
      <c r="F61" s="315"/>
      <c r="G61" s="315"/>
      <c r="H61" s="315"/>
      <c r="I61" s="315"/>
      <c r="J61" s="315"/>
      <c r="K61" s="315"/>
      <c r="L61" s="315"/>
      <c r="M61" s="315"/>
      <c r="N61" s="315"/>
      <c r="O61" s="398"/>
      <c r="P61" s="398"/>
      <c r="Q61" s="398"/>
      <c r="R61" s="148"/>
      <c r="S61" s="398"/>
      <c r="T61" s="398"/>
      <c r="U61" s="398"/>
      <c r="V61" s="398"/>
      <c r="W61" s="398"/>
      <c r="X61" s="398"/>
      <c r="Y61" s="806" t="s">
        <v>890</v>
      </c>
      <c r="Z61" s="807"/>
      <c r="AA61" s="807"/>
      <c r="AB61" s="807"/>
      <c r="AC61" s="398"/>
      <c r="AD61" s="270" t="s">
        <v>891</v>
      </c>
      <c r="AE61" s="398"/>
      <c r="AF61" s="398"/>
      <c r="AG61" s="398"/>
      <c r="AH61" s="398"/>
      <c r="AI61" s="398"/>
    </row>
    <row r="62" spans="1:35" ht="12.75" customHeight="1" outlineLevel="1">
      <c r="A62" s="398"/>
      <c r="B62" s="398"/>
      <c r="C62" s="398"/>
      <c r="D62" s="681" t="s">
        <v>892</v>
      </c>
      <c r="E62" s="693"/>
      <c r="F62" s="693"/>
      <c r="G62" s="693"/>
      <c r="H62" s="835" t="s">
        <v>893</v>
      </c>
      <c r="I62" s="835" t="s">
        <v>129</v>
      </c>
      <c r="J62" s="835"/>
      <c r="K62" s="835"/>
      <c r="L62" s="835"/>
      <c r="M62" s="835" t="s">
        <v>894</v>
      </c>
      <c r="N62" s="835"/>
      <c r="O62" s="835"/>
      <c r="P62" s="835"/>
      <c r="Q62" s="398"/>
      <c r="R62" s="398"/>
      <c r="S62" s="398"/>
      <c r="T62" s="398"/>
      <c r="U62" s="398"/>
      <c r="V62" s="398"/>
      <c r="W62" s="398"/>
      <c r="X62" s="398"/>
      <c r="Y62" s="398"/>
      <c r="Z62" s="398"/>
      <c r="AA62" s="398"/>
      <c r="AB62" s="398"/>
      <c r="AC62" s="398"/>
      <c r="AD62" s="808" t="s">
        <v>895</v>
      </c>
      <c r="AE62" s="809"/>
      <c r="AF62" s="809"/>
      <c r="AG62" s="809"/>
      <c r="AH62" s="809"/>
      <c r="AI62" s="809"/>
    </row>
    <row r="63" spans="1:35" s="32" customFormat="1" ht="99" outlineLevel="1">
      <c r="A63" s="398"/>
      <c r="B63" s="55" t="s">
        <v>896</v>
      </c>
      <c r="C63" s="56" t="s">
        <v>897</v>
      </c>
      <c r="D63" s="671" t="s">
        <v>898</v>
      </c>
      <c r="E63" s="671" t="s">
        <v>899</v>
      </c>
      <c r="F63" s="671" t="s">
        <v>900</v>
      </c>
      <c r="G63" s="671" t="s">
        <v>901</v>
      </c>
      <c r="H63" s="835"/>
      <c r="I63" s="671" t="s">
        <v>898</v>
      </c>
      <c r="J63" s="671" t="s">
        <v>899</v>
      </c>
      <c r="K63" s="671" t="s">
        <v>900</v>
      </c>
      <c r="L63" s="671" t="s">
        <v>901</v>
      </c>
      <c r="M63" s="671" t="s">
        <v>902</v>
      </c>
      <c r="N63" s="671" t="s">
        <v>903</v>
      </c>
      <c r="O63" s="671" t="s">
        <v>904</v>
      </c>
      <c r="P63" s="671" t="s">
        <v>905</v>
      </c>
      <c r="Q63" s="671" t="s">
        <v>906</v>
      </c>
      <c r="R63" s="671" t="s">
        <v>907</v>
      </c>
      <c r="S63" s="671" t="s">
        <v>834</v>
      </c>
      <c r="T63" s="671" t="s">
        <v>908</v>
      </c>
      <c r="U63" s="671" t="s">
        <v>909</v>
      </c>
      <c r="V63" s="671" t="s">
        <v>910</v>
      </c>
      <c r="W63" s="671" t="s">
        <v>911</v>
      </c>
      <c r="X63" s="671" t="s">
        <v>912</v>
      </c>
      <c r="Y63" s="368" t="s">
        <v>913</v>
      </c>
      <c r="Z63" s="368" t="s">
        <v>914</v>
      </c>
      <c r="AA63" s="368" t="s">
        <v>915</v>
      </c>
      <c r="AB63" s="368" t="s">
        <v>916</v>
      </c>
      <c r="AC63" s="368" t="s">
        <v>917</v>
      </c>
      <c r="AD63" s="368" t="s">
        <v>369</v>
      </c>
      <c r="AE63" s="368" t="s">
        <v>261</v>
      </c>
      <c r="AF63" s="368" t="s">
        <v>918</v>
      </c>
      <c r="AG63" s="368" t="s">
        <v>387</v>
      </c>
      <c r="AH63" s="368" t="s">
        <v>397</v>
      </c>
      <c r="AI63" s="368" t="s">
        <v>427</v>
      </c>
    </row>
    <row r="64" spans="1:35" s="32" customFormat="1" outlineLevel="1">
      <c r="A64" s="398"/>
      <c r="B64" s="264" t="s">
        <v>919</v>
      </c>
      <c r="C64" s="57" t="s">
        <v>920</v>
      </c>
      <c r="D64" s="141">
        <v>1</v>
      </c>
      <c r="E64" s="141">
        <v>1.2727075804285928</v>
      </c>
      <c r="F64" s="141">
        <v>1.6182164341473591</v>
      </c>
      <c r="G64" s="141">
        <v>1.7828374253207442</v>
      </c>
      <c r="H64" s="141">
        <v>1</v>
      </c>
      <c r="I64" s="141">
        <v>1</v>
      </c>
      <c r="J64" s="141">
        <v>0.55043858033445614</v>
      </c>
      <c r="K64" s="141">
        <v>0.24471287108114761</v>
      </c>
      <c r="L64" s="141">
        <v>7.6050115447678326E-2</v>
      </c>
      <c r="M64" s="141">
        <v>7.3766904562545758E-3</v>
      </c>
      <c r="N64" s="141">
        <v>4.3193805909595255E-2</v>
      </c>
      <c r="O64" s="141">
        <v>2.4813631793631392E-2</v>
      </c>
      <c r="P64" s="141">
        <v>4.3650708360575302E-2</v>
      </c>
      <c r="Q64" s="157">
        <v>5.4995552963538114E-2</v>
      </c>
      <c r="R64" s="157">
        <v>0.1703028465807406</v>
      </c>
      <c r="S64" s="321">
        <v>1.19</v>
      </c>
      <c r="T64" s="699">
        <v>446700.71346166095</v>
      </c>
      <c r="U64" s="640"/>
      <c r="V64" s="141">
        <v>4.5079746733149038E-2</v>
      </c>
      <c r="W64" s="322">
        <v>8.2000000000000003E-2</v>
      </c>
      <c r="X64" s="157">
        <v>5.8000000000000003E-2</v>
      </c>
      <c r="Y64" s="580">
        <v>12845.37</v>
      </c>
      <c r="Z64" s="254">
        <v>3.4490260631001378E-2</v>
      </c>
      <c r="AA64" s="254">
        <v>4.9999999999999996E-2</v>
      </c>
      <c r="AB64" s="254">
        <v>4.504394845590115E-2</v>
      </c>
      <c r="AC64" s="340">
        <v>0.32900000000000001</v>
      </c>
      <c r="AD64" s="340">
        <v>0</v>
      </c>
      <c r="AE64" s="340">
        <v>0</v>
      </c>
      <c r="AF64" s="341">
        <v>0</v>
      </c>
      <c r="AG64" s="340">
        <v>0</v>
      </c>
      <c r="AH64" s="340">
        <v>0</v>
      </c>
      <c r="AI64" s="340">
        <v>0</v>
      </c>
    </row>
    <row r="65" spans="1:35" s="32" customFormat="1" outlineLevel="1">
      <c r="A65" s="398"/>
      <c r="B65" s="264" t="s">
        <v>921</v>
      </c>
      <c r="C65" s="57" t="s">
        <v>922</v>
      </c>
      <c r="D65" s="154">
        <v>1.3012839444536703</v>
      </c>
      <c r="E65" s="154">
        <v>1.3114228410937188</v>
      </c>
      <c r="F65" s="154">
        <v>1.8211420671678382</v>
      </c>
      <c r="G65" s="154">
        <v>1.9871165596887674</v>
      </c>
      <c r="H65" s="154">
        <v>1.0137296405252205</v>
      </c>
      <c r="I65" s="154">
        <v>1</v>
      </c>
      <c r="J65" s="154">
        <v>0.98475379743695457</v>
      </c>
      <c r="K65" s="154">
        <v>0.43913750836128984</v>
      </c>
      <c r="L65" s="154">
        <v>0.13835347171018531</v>
      </c>
      <c r="M65" s="154">
        <v>1.4271075154951168E-2</v>
      </c>
      <c r="N65" s="154">
        <v>0.13598066168382264</v>
      </c>
      <c r="O65" s="154">
        <v>5.3669643941636057E-2</v>
      </c>
      <c r="P65" s="154">
        <v>0.12627386709868804</v>
      </c>
      <c r="Q65" s="149">
        <v>0.12611368419227756</v>
      </c>
      <c r="R65" s="149">
        <v>0.27120601477933548</v>
      </c>
      <c r="S65" s="70">
        <v>1.2</v>
      </c>
      <c r="T65" s="697">
        <v>307391.55864208215</v>
      </c>
      <c r="U65" s="640"/>
      <c r="V65" s="154">
        <v>9.0999999999999998E-2</v>
      </c>
      <c r="W65" s="342">
        <v>6.522E-2</v>
      </c>
      <c r="X65" s="149">
        <v>5.9285714285714275E-2</v>
      </c>
      <c r="Y65" s="580">
        <v>23169.3</v>
      </c>
      <c r="Z65" s="254">
        <v>6.8629629629629638E-2</v>
      </c>
      <c r="AA65" s="254">
        <v>9.9000000000000005E-2</v>
      </c>
      <c r="AB65" s="254">
        <v>7.4215194921514918E-2</v>
      </c>
      <c r="AC65" s="340">
        <v>0.30599999999999999</v>
      </c>
      <c r="AD65" s="340">
        <v>-2.5126377840909278E-2</v>
      </c>
      <c r="AE65" s="340">
        <v>4.4785024657656436E-6</v>
      </c>
      <c r="AF65" s="341">
        <v>-2.8102609408241386E-2</v>
      </c>
      <c r="AG65" s="340">
        <v>2.2314688165537055E-2</v>
      </c>
      <c r="AH65" s="340">
        <v>3.0909820581147968E-2</v>
      </c>
      <c r="AI65" s="340">
        <v>0</v>
      </c>
    </row>
    <row r="66" spans="1:35" s="32" customFormat="1" outlineLevel="1">
      <c r="A66" s="398"/>
      <c r="B66" s="264" t="s">
        <v>923</v>
      </c>
      <c r="C66" s="57" t="s">
        <v>924</v>
      </c>
      <c r="D66" s="154">
        <v>1.3012839444536703</v>
      </c>
      <c r="E66" s="154">
        <v>1.3114228410937188</v>
      </c>
      <c r="F66" s="154">
        <v>1.8211420671678382</v>
      </c>
      <c r="G66" s="154">
        <v>1.9871165596887674</v>
      </c>
      <c r="H66" s="154">
        <v>1.0507261247040254</v>
      </c>
      <c r="I66" s="154">
        <v>1</v>
      </c>
      <c r="J66" s="154">
        <v>0.98475379743695457</v>
      </c>
      <c r="K66" s="154">
        <v>0.43913750836128984</v>
      </c>
      <c r="L66" s="154">
        <v>0.13835347171018531</v>
      </c>
      <c r="M66" s="154">
        <v>1.4271075154951168E-2</v>
      </c>
      <c r="N66" s="154">
        <v>0.13598066168382264</v>
      </c>
      <c r="O66" s="154">
        <v>5.3669643941636057E-2</v>
      </c>
      <c r="P66" s="154">
        <v>0.12627386709868804</v>
      </c>
      <c r="Q66" s="149">
        <v>8.9361497288792932E-2</v>
      </c>
      <c r="R66" s="149">
        <v>0.13147447012946167</v>
      </c>
      <c r="S66" s="70">
        <f>S89</f>
        <v>1.5</v>
      </c>
      <c r="T66" s="697">
        <v>1507787.612911982</v>
      </c>
      <c r="U66" s="640"/>
      <c r="V66" s="154">
        <v>9.0999999999999998E-2</v>
      </c>
      <c r="W66" s="342">
        <v>8.1066666666666662E-2</v>
      </c>
      <c r="X66" s="149">
        <v>0.06</v>
      </c>
      <c r="Y66" s="580">
        <v>26543.46</v>
      </c>
      <c r="Z66" s="254">
        <v>3.3170370370370371E-2</v>
      </c>
      <c r="AA66" s="254">
        <v>5.1500000000000004E-2</v>
      </c>
      <c r="AB66" s="254">
        <v>9.4575552609243885E-2</v>
      </c>
      <c r="AC66" s="340">
        <v>0.39600000000000002</v>
      </c>
      <c r="AD66" s="340">
        <v>-1.1688817033041157E-2</v>
      </c>
      <c r="AE66" s="340">
        <v>-8.7889701544780763E-3</v>
      </c>
      <c r="AF66" s="341">
        <v>5.2299378372322597E-2</v>
      </c>
      <c r="AG66" s="340">
        <v>-4.7572667083772557E-2</v>
      </c>
      <c r="AH66" s="340">
        <v>1.5751075898969374E-2</v>
      </c>
      <c r="AI66" s="340">
        <v>0</v>
      </c>
    </row>
    <row r="67" spans="1:35" s="32" customFormat="1" outlineLevel="1">
      <c r="A67" s="398"/>
      <c r="B67" s="264" t="s">
        <v>925</v>
      </c>
      <c r="C67" s="57" t="s">
        <v>926</v>
      </c>
      <c r="D67" s="154">
        <v>1.3012839444536703</v>
      </c>
      <c r="E67" s="154">
        <v>1.3114228410937188</v>
      </c>
      <c r="F67" s="154">
        <v>1.8211420671678382</v>
      </c>
      <c r="G67" s="154">
        <v>1.9871165596887674</v>
      </c>
      <c r="H67" s="154">
        <v>1.0616918992609601</v>
      </c>
      <c r="I67" s="154">
        <v>1</v>
      </c>
      <c r="J67" s="154">
        <v>0.98475379743695457</v>
      </c>
      <c r="K67" s="154">
        <v>0.43913750836128984</v>
      </c>
      <c r="L67" s="154">
        <v>0.13835347171018531</v>
      </c>
      <c r="M67" s="154">
        <v>1.4271075154951168E-2</v>
      </c>
      <c r="N67" s="154">
        <v>0.13598066168382264</v>
      </c>
      <c r="O67" s="154">
        <v>5.3669643941636057E-2</v>
      </c>
      <c r="P67" s="154">
        <v>0.12627386709868804</v>
      </c>
      <c r="Q67" s="149">
        <v>9.0062959661486058E-2</v>
      </c>
      <c r="R67" s="149">
        <v>0.32444803185903587</v>
      </c>
      <c r="S67" s="70">
        <v>1.2</v>
      </c>
      <c r="T67" s="697">
        <v>607801.93274617288</v>
      </c>
      <c r="U67" s="640"/>
      <c r="V67" s="154">
        <v>9.0999999999999998E-2</v>
      </c>
      <c r="W67" s="342">
        <v>7.6749999999999999E-2</v>
      </c>
      <c r="X67" s="149">
        <v>6.2E-2</v>
      </c>
      <c r="Y67" s="580">
        <v>23169.3</v>
      </c>
      <c r="Z67" s="254">
        <v>6.8629629629629638E-2</v>
      </c>
      <c r="AA67" s="254">
        <v>9.9000000000000005E-2</v>
      </c>
      <c r="AB67" s="254">
        <v>7.0349808232791425E-2</v>
      </c>
      <c r="AC67" s="340">
        <v>0.30599999999999999</v>
      </c>
      <c r="AD67" s="340">
        <v>-1.1246692955708529E-2</v>
      </c>
      <c r="AE67" s="340">
        <v>1.5534324661858057E-3</v>
      </c>
      <c r="AF67" s="341">
        <v>-4.2034964452038831E-2</v>
      </c>
      <c r="AG67" s="340">
        <v>1.5925140762944712E-2</v>
      </c>
      <c r="AH67" s="340">
        <v>3.5803084178616995E-2</v>
      </c>
      <c r="AI67" s="340">
        <v>0</v>
      </c>
    </row>
    <row r="68" spans="1:35" s="32" customFormat="1" outlineLevel="1">
      <c r="A68" s="398"/>
      <c r="B68" s="264" t="s">
        <v>927</v>
      </c>
      <c r="C68" s="57" t="s">
        <v>928</v>
      </c>
      <c r="D68" s="154">
        <v>1.0370823271484118</v>
      </c>
      <c r="E68" s="154">
        <v>1.4756404645050363</v>
      </c>
      <c r="F68" s="154">
        <v>1.8921640784745655</v>
      </c>
      <c r="G68" s="154">
        <v>1.9909645306499819</v>
      </c>
      <c r="H68" s="154">
        <v>0.94860084666714495</v>
      </c>
      <c r="I68" s="154">
        <v>1</v>
      </c>
      <c r="J68" s="154">
        <v>0.38468419131069731</v>
      </c>
      <c r="K68" s="154">
        <v>0.19155432920493162</v>
      </c>
      <c r="L68" s="154">
        <v>7.4953660797034291E-2</v>
      </c>
      <c r="M68" s="154">
        <v>6.1336254107338438E-3</v>
      </c>
      <c r="N68" s="154">
        <v>3.2360210071053441E-2</v>
      </c>
      <c r="O68" s="154">
        <v>2.0156149071811721E-2</v>
      </c>
      <c r="P68" s="154">
        <v>3.1062712388013593E-2</v>
      </c>
      <c r="Q68" s="149">
        <v>6.3204350065226594E-2</v>
      </c>
      <c r="R68" s="149">
        <v>0.14334632297203762</v>
      </c>
      <c r="S68" s="71">
        <f>S76</f>
        <v>1.1000000000000001</v>
      </c>
      <c r="T68" s="697">
        <v>284104.37094656896</v>
      </c>
      <c r="U68" s="640"/>
      <c r="V68" s="154">
        <v>5.2396613968293371E-2</v>
      </c>
      <c r="W68" s="342">
        <v>8.0299999999999996E-2</v>
      </c>
      <c r="X68" s="149">
        <v>7.060000000000001E-2</v>
      </c>
      <c r="Y68" s="580">
        <v>6264.84</v>
      </c>
      <c r="Z68" s="254">
        <v>2.0548148148148152E-2</v>
      </c>
      <c r="AA68" s="254">
        <v>2.9499999999999998E-2</v>
      </c>
      <c r="AB68" s="254">
        <v>2.5000000000000001E-2</v>
      </c>
      <c r="AC68" s="340">
        <v>0.35100000000000003</v>
      </c>
      <c r="AD68" s="340">
        <v>9.040867481216977E-3</v>
      </c>
      <c r="AE68" s="340">
        <v>-8.4494023445451927E-3</v>
      </c>
      <c r="AF68" s="341">
        <v>4.8285025979525859E-2</v>
      </c>
      <c r="AG68" s="340">
        <v>-2.6750121298757312E-2</v>
      </c>
      <c r="AH68" s="340">
        <v>-2.2126369817440289E-2</v>
      </c>
      <c r="AI68" s="340">
        <v>0</v>
      </c>
    </row>
    <row r="69" spans="1:35" s="32" customFormat="1" outlineLevel="1">
      <c r="A69" s="398"/>
      <c r="B69" s="264" t="s">
        <v>929</v>
      </c>
      <c r="C69" s="57" t="s">
        <v>930</v>
      </c>
      <c r="D69" s="154">
        <v>1.0370823271484118</v>
      </c>
      <c r="E69" s="154">
        <v>1.4756404645050363</v>
      </c>
      <c r="F69" s="154">
        <v>1.8921640784745655</v>
      </c>
      <c r="G69" s="154">
        <v>1.9909645306499819</v>
      </c>
      <c r="H69" s="154">
        <v>0.94860084666714495</v>
      </c>
      <c r="I69" s="154">
        <v>1</v>
      </c>
      <c r="J69" s="154">
        <v>0.38468419131069731</v>
      </c>
      <c r="K69" s="154">
        <v>0.19155432920493162</v>
      </c>
      <c r="L69" s="154">
        <v>7.4953660797034291E-2</v>
      </c>
      <c r="M69" s="154">
        <v>6.1336254107338438E-3</v>
      </c>
      <c r="N69" s="154">
        <v>3.2360210071053441E-2</v>
      </c>
      <c r="O69" s="154">
        <v>2.0156149071811721E-2</v>
      </c>
      <c r="P69" s="154">
        <v>3.1062712388013593E-2</v>
      </c>
      <c r="Q69" s="343">
        <v>4.4999999999999998E-2</v>
      </c>
      <c r="R69" s="343">
        <v>9.5000000000000001E-2</v>
      </c>
      <c r="S69" s="71">
        <f>S76</f>
        <v>1.1000000000000001</v>
      </c>
      <c r="T69" s="697">
        <v>277612.74288955692</v>
      </c>
      <c r="U69" s="640"/>
      <c r="V69" s="154">
        <v>5.2396613968293371E-2</v>
      </c>
      <c r="W69" s="342">
        <v>8.9499999999999996E-2</v>
      </c>
      <c r="X69" s="149">
        <v>5.0999999999999997E-2</v>
      </c>
      <c r="Y69" s="580">
        <v>6264.84</v>
      </c>
      <c r="Z69" s="254">
        <v>1.8755555555555557E-2</v>
      </c>
      <c r="AA69" s="254">
        <v>2.9499999999999998E-2</v>
      </c>
      <c r="AB69" s="254">
        <v>2.3E-2</v>
      </c>
      <c r="AC69" s="340">
        <v>0.30600000000000005</v>
      </c>
      <c r="AD69" s="340">
        <v>9.0408674261878291E-3</v>
      </c>
      <c r="AE69" s="340">
        <v>-8.4494024126569034E-3</v>
      </c>
      <c r="AF69" s="341">
        <v>4.8285026007548665E-2</v>
      </c>
      <c r="AG69" s="340">
        <v>-2.675012125017584E-2</v>
      </c>
      <c r="AH69" s="340">
        <v>-2.2126369770903515E-2</v>
      </c>
      <c r="AI69" s="340">
        <v>0</v>
      </c>
    </row>
    <row r="70" spans="1:35" s="32" customFormat="1" outlineLevel="1">
      <c r="A70" s="398"/>
      <c r="B70" s="264" t="s">
        <v>931</v>
      </c>
      <c r="C70" s="57" t="s">
        <v>932</v>
      </c>
      <c r="D70" s="154">
        <v>1.0370823271484118</v>
      </c>
      <c r="E70" s="154">
        <v>1.4756404645050363</v>
      </c>
      <c r="F70" s="154">
        <v>1.8921640784745655</v>
      </c>
      <c r="G70" s="154">
        <v>1.9909645306499819</v>
      </c>
      <c r="H70" s="154">
        <v>1.0987924230465667</v>
      </c>
      <c r="I70" s="154">
        <v>1</v>
      </c>
      <c r="J70" s="154">
        <v>0.38468419131069731</v>
      </c>
      <c r="K70" s="154">
        <v>0.19155432920493162</v>
      </c>
      <c r="L70" s="154">
        <v>7.4953660797034291E-2</v>
      </c>
      <c r="M70" s="154">
        <v>6.1336254107338438E-3</v>
      </c>
      <c r="N70" s="154">
        <v>3.2360210071053441E-2</v>
      </c>
      <c r="O70" s="154">
        <v>2.0156149071811721E-2</v>
      </c>
      <c r="P70" s="154">
        <v>3.1062712388013593E-2</v>
      </c>
      <c r="Q70" s="149">
        <v>5.6670353750930186E-2</v>
      </c>
      <c r="R70" s="149">
        <v>0.14958677345983917</v>
      </c>
      <c r="S70" s="70">
        <v>1.02</v>
      </c>
      <c r="T70" s="697">
        <v>469076.53363823006</v>
      </c>
      <c r="U70" s="640"/>
      <c r="V70" s="154">
        <v>5.2396613968293371E-2</v>
      </c>
      <c r="W70" s="342">
        <v>9.1700000000000004E-2</v>
      </c>
      <c r="X70" s="149">
        <v>3.9069767441860449E-2</v>
      </c>
      <c r="Y70" s="580">
        <v>8485.380000000001</v>
      </c>
      <c r="Z70" s="254">
        <v>1.5466666666666668E-2</v>
      </c>
      <c r="AA70" s="254">
        <v>1.6500000000000001E-2</v>
      </c>
      <c r="AB70" s="254">
        <v>2.1709856827485944E-2</v>
      </c>
      <c r="AC70" s="340">
        <v>0.32850000000000001</v>
      </c>
      <c r="AD70" s="340">
        <v>9.0408675430967839E-3</v>
      </c>
      <c r="AE70" s="340">
        <v>-8.4494023762854975E-3</v>
      </c>
      <c r="AF70" s="341">
        <v>4.828502597084619E-2</v>
      </c>
      <c r="AG70" s="340">
        <v>-2.6750121354098544E-2</v>
      </c>
      <c r="AH70" s="340">
        <v>-2.212636978355878E-2</v>
      </c>
      <c r="AI70" s="340">
        <v>0</v>
      </c>
    </row>
    <row r="71" spans="1:35" s="32" customFormat="1" outlineLevel="1">
      <c r="A71" s="398"/>
      <c r="B71" s="264" t="s">
        <v>933</v>
      </c>
      <c r="C71" s="57" t="s">
        <v>934</v>
      </c>
      <c r="D71" s="154">
        <v>1.0823903260291441</v>
      </c>
      <c r="E71" s="154">
        <v>1.3381317168105598</v>
      </c>
      <c r="F71" s="154">
        <v>1.6130552573604138</v>
      </c>
      <c r="G71" s="154">
        <v>1.8229024549604516</v>
      </c>
      <c r="H71" s="154">
        <v>0.89643538781660326</v>
      </c>
      <c r="I71" s="154">
        <v>1</v>
      </c>
      <c r="J71" s="154">
        <v>0.36973527459741357</v>
      </c>
      <c r="K71" s="154">
        <v>0.10352143378810305</v>
      </c>
      <c r="L71" s="154">
        <v>1.1327125953530736E-2</v>
      </c>
      <c r="M71" s="154">
        <v>9.5665479063283625E-4</v>
      </c>
      <c r="N71" s="154">
        <v>5.0118158668625332E-2</v>
      </c>
      <c r="O71" s="154">
        <v>1.2246292094893489E-3</v>
      </c>
      <c r="P71" s="154">
        <v>1.8808194185649343E-2</v>
      </c>
      <c r="Q71" s="343">
        <v>4.4999999999999998E-2</v>
      </c>
      <c r="R71" s="343">
        <v>9.5000000000000001E-2</v>
      </c>
      <c r="S71" s="70">
        <v>0.95</v>
      </c>
      <c r="T71" s="697">
        <v>729435.11718213325</v>
      </c>
      <c r="U71" s="640"/>
      <c r="V71" s="154">
        <v>0.03</v>
      </c>
      <c r="W71" s="342">
        <v>9.3700000000000006E-2</v>
      </c>
      <c r="X71" s="149">
        <v>1.9545454545454546E-2</v>
      </c>
      <c r="Y71" s="580">
        <v>4898.55</v>
      </c>
      <c r="Z71" s="254">
        <v>1.3770370370370372E-2</v>
      </c>
      <c r="AA71" s="254">
        <v>1.7500000000000002E-2</v>
      </c>
      <c r="AB71" s="254">
        <v>1.1661562216177831E-2</v>
      </c>
      <c r="AC71" s="340">
        <v>0.33300000000000002</v>
      </c>
      <c r="AD71" s="340">
        <v>9.0408675299034486E-3</v>
      </c>
      <c r="AE71" s="340">
        <v>-8.4494023789919159E-3</v>
      </c>
      <c r="AF71" s="341">
        <v>4.8285025954405064E-2</v>
      </c>
      <c r="AG71" s="340">
        <v>-2.6750121285458395E-2</v>
      </c>
      <c r="AH71" s="340">
        <v>-2.2126369819858188E-2</v>
      </c>
      <c r="AI71" s="340">
        <v>0</v>
      </c>
    </row>
    <row r="72" spans="1:35" s="32" customFormat="1" outlineLevel="1">
      <c r="A72" s="398"/>
      <c r="B72" s="264" t="s">
        <v>935</v>
      </c>
      <c r="C72" s="57" t="s">
        <v>936</v>
      </c>
      <c r="D72" s="154">
        <v>1.0370823271484118</v>
      </c>
      <c r="E72" s="154">
        <v>1.4756404645050363</v>
      </c>
      <c r="F72" s="154">
        <v>1.8921640784745655</v>
      </c>
      <c r="G72" s="154">
        <v>1.9909645306499819</v>
      </c>
      <c r="H72" s="154">
        <v>1.028537944560044</v>
      </c>
      <c r="I72" s="154">
        <v>1</v>
      </c>
      <c r="J72" s="154">
        <v>0.38468419131069731</v>
      </c>
      <c r="K72" s="154">
        <v>0.19155432920493162</v>
      </c>
      <c r="L72" s="154">
        <v>7.4953660797034291E-2</v>
      </c>
      <c r="M72" s="154">
        <v>6.1336254107338438E-3</v>
      </c>
      <c r="N72" s="154">
        <v>3.2360210071053441E-2</v>
      </c>
      <c r="O72" s="154">
        <v>2.0156149071811721E-2</v>
      </c>
      <c r="P72" s="154">
        <v>3.1062712388013593E-2</v>
      </c>
      <c r="Q72" s="149">
        <v>4.4647928989082757E-2</v>
      </c>
      <c r="R72" s="149">
        <v>0.11789525084605533</v>
      </c>
      <c r="S72" s="70">
        <v>1.1000000000000001</v>
      </c>
      <c r="T72" s="697">
        <v>355710.83269947249</v>
      </c>
      <c r="U72" s="640"/>
      <c r="V72" s="154">
        <v>5.2396613968293371E-2</v>
      </c>
      <c r="W72" s="342">
        <v>8.5474999999999995E-2</v>
      </c>
      <c r="X72" s="149">
        <v>4.6705882352941194E-2</v>
      </c>
      <c r="Y72" s="580">
        <v>6113.88</v>
      </c>
      <c r="Z72" s="254">
        <v>2.1081481481481479E-2</v>
      </c>
      <c r="AA72" s="254">
        <v>2.4500000000000001E-2</v>
      </c>
      <c r="AB72" s="254">
        <v>1.7154395474392892E-2</v>
      </c>
      <c r="AC72" s="340">
        <v>0.32400000000000001</v>
      </c>
      <c r="AD72" s="340">
        <v>9.0408675120473431E-3</v>
      </c>
      <c r="AE72" s="340">
        <v>-8.4494023635642568E-3</v>
      </c>
      <c r="AF72" s="341">
        <v>4.8285025972339163E-2</v>
      </c>
      <c r="AG72" s="340">
        <v>-2.6750121296515217E-2</v>
      </c>
      <c r="AH72" s="340">
        <v>-2.2126369824307046E-2</v>
      </c>
      <c r="AI72" s="340">
        <v>0</v>
      </c>
    </row>
    <row r="73" spans="1:35" s="32" customFormat="1" outlineLevel="1">
      <c r="A73" s="398"/>
      <c r="B73" s="264" t="s">
        <v>937</v>
      </c>
      <c r="C73" s="57" t="s">
        <v>938</v>
      </c>
      <c r="D73" s="154">
        <v>1.0370823271484118</v>
      </c>
      <c r="E73" s="154">
        <v>1.4756404645050363</v>
      </c>
      <c r="F73" s="154">
        <v>1.8921640784745655</v>
      </c>
      <c r="G73" s="154">
        <v>1.9909645306499819</v>
      </c>
      <c r="H73" s="154">
        <v>1.097869938532922</v>
      </c>
      <c r="I73" s="154">
        <v>1</v>
      </c>
      <c r="J73" s="154">
        <v>0.38468419131069731</v>
      </c>
      <c r="K73" s="154">
        <v>0.19155432920493162</v>
      </c>
      <c r="L73" s="154">
        <v>7.4953660797034291E-2</v>
      </c>
      <c r="M73" s="154">
        <v>6.1336254107338438E-3</v>
      </c>
      <c r="N73" s="154">
        <v>3.2360210071053441E-2</v>
      </c>
      <c r="O73" s="154">
        <v>2.0156149071811721E-2</v>
      </c>
      <c r="P73" s="154">
        <v>3.1062712388013593E-2</v>
      </c>
      <c r="Q73" s="149">
        <v>2.1796969199006849E-2</v>
      </c>
      <c r="R73" s="149">
        <v>0.10653877626006028</v>
      </c>
      <c r="S73" s="71">
        <f>S76</f>
        <v>1.1000000000000001</v>
      </c>
      <c r="T73" s="697">
        <v>275890.59426758101</v>
      </c>
      <c r="U73" s="640"/>
      <c r="V73" s="154">
        <v>5.2396613968293371E-2</v>
      </c>
      <c r="W73" s="342">
        <v>9.6299999999999997E-2</v>
      </c>
      <c r="X73" s="149">
        <v>7.5135135135135131E-2</v>
      </c>
      <c r="Y73" s="580">
        <v>9816.48</v>
      </c>
      <c r="Z73" s="254">
        <v>2.7429629629629627E-2</v>
      </c>
      <c r="AA73" s="254">
        <v>3.2000000000000001E-2</v>
      </c>
      <c r="AB73" s="254">
        <v>2.5153666820622547E-2</v>
      </c>
      <c r="AC73" s="340">
        <v>0.315</v>
      </c>
      <c r="AD73" s="340">
        <v>9.0408675120473431E-3</v>
      </c>
      <c r="AE73" s="340">
        <v>-8.4494023635642568E-3</v>
      </c>
      <c r="AF73" s="341">
        <v>4.8285025972339163E-2</v>
      </c>
      <c r="AG73" s="340">
        <v>-2.6750121296515217E-2</v>
      </c>
      <c r="AH73" s="340">
        <v>-2.2126369824307046E-2</v>
      </c>
      <c r="AI73" s="340">
        <v>0</v>
      </c>
    </row>
    <row r="74" spans="1:35" s="32" customFormat="1" outlineLevel="1">
      <c r="A74" s="398"/>
      <c r="B74" s="264" t="s">
        <v>939</v>
      </c>
      <c r="C74" s="57" t="s">
        <v>940</v>
      </c>
      <c r="D74" s="154">
        <v>1.0370823271484118</v>
      </c>
      <c r="E74" s="154">
        <v>1.4756404645050363</v>
      </c>
      <c r="F74" s="154">
        <v>1.8921640784745655</v>
      </c>
      <c r="G74" s="154">
        <v>1.9909645306499819</v>
      </c>
      <c r="H74" s="154">
        <v>1.097869938532922</v>
      </c>
      <c r="I74" s="154">
        <v>1</v>
      </c>
      <c r="J74" s="154">
        <v>0.38468419131069731</v>
      </c>
      <c r="K74" s="154">
        <v>0.19155432920493162</v>
      </c>
      <c r="L74" s="154">
        <v>7.4953660797034291E-2</v>
      </c>
      <c r="M74" s="154">
        <v>6.1336254107338438E-3</v>
      </c>
      <c r="N74" s="154">
        <v>3.2360210071053441E-2</v>
      </c>
      <c r="O74" s="154">
        <v>2.0156149071811721E-2</v>
      </c>
      <c r="P74" s="154">
        <v>3.1062712388013593E-2</v>
      </c>
      <c r="Q74" s="149">
        <v>2.256019989871896E-2</v>
      </c>
      <c r="R74" s="149">
        <v>0.12029597464483946</v>
      </c>
      <c r="S74" s="70">
        <v>1.35</v>
      </c>
      <c r="T74" s="697">
        <v>353457.80642154824</v>
      </c>
      <c r="U74" s="640"/>
      <c r="V74" s="154">
        <v>5.2396613968293371E-2</v>
      </c>
      <c r="W74" s="342">
        <v>8.9719999999999994E-2</v>
      </c>
      <c r="X74" s="149">
        <v>7.8214285714285722E-2</v>
      </c>
      <c r="Y74" s="580">
        <v>9816.48</v>
      </c>
      <c r="Z74" s="254">
        <v>2.7429629629629627E-2</v>
      </c>
      <c r="AA74" s="254">
        <v>3.2000000000000001E-2</v>
      </c>
      <c r="AB74" s="254">
        <v>0.03</v>
      </c>
      <c r="AC74" s="340">
        <v>0.315</v>
      </c>
      <c r="AD74" s="340">
        <v>9.0408675120473431E-3</v>
      </c>
      <c r="AE74" s="340">
        <v>-8.4494023635642568E-3</v>
      </c>
      <c r="AF74" s="341">
        <v>4.8285025972339163E-2</v>
      </c>
      <c r="AG74" s="340">
        <v>-2.6750121296515217E-2</v>
      </c>
      <c r="AH74" s="340">
        <v>-2.2126369824307046E-2</v>
      </c>
      <c r="AI74" s="340">
        <v>0</v>
      </c>
    </row>
    <row r="75" spans="1:35" s="32" customFormat="1" outlineLevel="1">
      <c r="A75" s="398"/>
      <c r="B75" s="264" t="s">
        <v>941</v>
      </c>
      <c r="C75" s="57" t="s">
        <v>942</v>
      </c>
      <c r="D75" s="154">
        <v>1.0370823271484118</v>
      </c>
      <c r="E75" s="154">
        <v>1.4756404645050363</v>
      </c>
      <c r="F75" s="154">
        <v>1.8921640784745655</v>
      </c>
      <c r="G75" s="154">
        <v>1.9909645306499819</v>
      </c>
      <c r="H75" s="154">
        <v>0.9611549592212576</v>
      </c>
      <c r="I75" s="154">
        <v>1</v>
      </c>
      <c r="J75" s="154">
        <v>0.38468419131069731</v>
      </c>
      <c r="K75" s="154">
        <v>0.19155432920493162</v>
      </c>
      <c r="L75" s="154">
        <v>7.4953660797034291E-2</v>
      </c>
      <c r="M75" s="154">
        <v>6.1336254107338438E-3</v>
      </c>
      <c r="N75" s="154">
        <v>3.2360210071053441E-2</v>
      </c>
      <c r="O75" s="154">
        <v>2.0156149071811721E-2</v>
      </c>
      <c r="P75" s="154">
        <v>3.1062712388013593E-2</v>
      </c>
      <c r="Q75" s="149">
        <v>6.0102293190721398E-2</v>
      </c>
      <c r="R75" s="149">
        <v>0.12140702155242793</v>
      </c>
      <c r="S75" s="70">
        <v>1.1000000000000001</v>
      </c>
      <c r="T75" s="697">
        <v>440852.20349259622</v>
      </c>
      <c r="U75" s="640"/>
      <c r="V75" s="154">
        <v>5.2396613968293371E-2</v>
      </c>
      <c r="W75" s="342">
        <v>7.1050000000000002E-2</v>
      </c>
      <c r="X75" s="149">
        <v>5.0212765957446823E-2</v>
      </c>
      <c r="Y75" s="580">
        <v>4497.18</v>
      </c>
      <c r="Z75" s="254">
        <v>1.4748148148148149E-2</v>
      </c>
      <c r="AA75" s="254">
        <v>1.7999999999999999E-2</v>
      </c>
      <c r="AB75" s="254">
        <v>1.2296821273254039E-2</v>
      </c>
      <c r="AC75" s="340">
        <v>0.32400000000000001</v>
      </c>
      <c r="AD75" s="340">
        <v>9.0408675120473431E-3</v>
      </c>
      <c r="AE75" s="340">
        <v>-8.4494023635642568E-3</v>
      </c>
      <c r="AF75" s="341">
        <v>4.8285025972339163E-2</v>
      </c>
      <c r="AG75" s="340">
        <v>-2.6750121296515217E-2</v>
      </c>
      <c r="AH75" s="340">
        <v>-2.2126369824307046E-2</v>
      </c>
      <c r="AI75" s="340">
        <v>0</v>
      </c>
    </row>
    <row r="76" spans="1:35" s="32" customFormat="1" outlineLevel="1">
      <c r="A76" s="398"/>
      <c r="B76" s="264" t="s">
        <v>943</v>
      </c>
      <c r="C76" s="57" t="s">
        <v>944</v>
      </c>
      <c r="D76" s="154">
        <v>1.0370823271484118</v>
      </c>
      <c r="E76" s="154">
        <v>1.4756404645050363</v>
      </c>
      <c r="F76" s="154">
        <v>1.8921640784745655</v>
      </c>
      <c r="G76" s="154">
        <v>1.9909645306499819</v>
      </c>
      <c r="H76" s="154">
        <v>0.94860084666714495</v>
      </c>
      <c r="I76" s="154">
        <v>1</v>
      </c>
      <c r="J76" s="154">
        <v>0.38468419131069731</v>
      </c>
      <c r="K76" s="154">
        <v>0.19155432920493162</v>
      </c>
      <c r="L76" s="154">
        <v>7.4953660797034291E-2</v>
      </c>
      <c r="M76" s="154">
        <v>6.1336254107338438E-3</v>
      </c>
      <c r="N76" s="154">
        <v>3.2360210071053441E-2</v>
      </c>
      <c r="O76" s="154">
        <v>2.0156149071811721E-2</v>
      </c>
      <c r="P76" s="154">
        <v>3.1062712388013593E-2</v>
      </c>
      <c r="Q76" s="149">
        <v>3.6224611414075993E-2</v>
      </c>
      <c r="R76" s="149">
        <v>0.15082152895980314</v>
      </c>
      <c r="S76" s="70">
        <v>1.1000000000000001</v>
      </c>
      <c r="T76" s="697">
        <v>306186.6006890444</v>
      </c>
      <c r="U76" s="640"/>
      <c r="V76" s="154">
        <v>5.2396613968293371E-2</v>
      </c>
      <c r="W76" s="342">
        <v>9.4299999999999995E-2</v>
      </c>
      <c r="X76" s="149">
        <v>4.5730337078651678E-2</v>
      </c>
      <c r="Y76" s="580">
        <v>6264.84</v>
      </c>
      <c r="Z76" s="254">
        <v>2.0548148148148152E-2</v>
      </c>
      <c r="AA76" s="254">
        <v>2.9499999999999998E-2</v>
      </c>
      <c r="AB76" s="254">
        <v>1.8953728227277547E-2</v>
      </c>
      <c r="AC76" s="340">
        <v>0.35100000000000003</v>
      </c>
      <c r="AD76" s="340">
        <v>9.0408675120473431E-3</v>
      </c>
      <c r="AE76" s="340">
        <v>-8.4494023635642568E-3</v>
      </c>
      <c r="AF76" s="341">
        <v>4.8285025972339163E-2</v>
      </c>
      <c r="AG76" s="340">
        <v>-2.6750121296515217E-2</v>
      </c>
      <c r="AH76" s="340">
        <v>-2.2126369824307046E-2</v>
      </c>
      <c r="AI76" s="340">
        <v>0</v>
      </c>
    </row>
    <row r="77" spans="1:35" s="32" customFormat="1" ht="25.5" outlineLevel="1">
      <c r="A77" s="398"/>
      <c r="B77" s="264" t="s">
        <v>945</v>
      </c>
      <c r="C77" s="57" t="s">
        <v>946</v>
      </c>
      <c r="D77" s="154">
        <v>1.0370823271484118</v>
      </c>
      <c r="E77" s="154">
        <v>1.4756404645050363</v>
      </c>
      <c r="F77" s="154">
        <v>1.8921640784745655</v>
      </c>
      <c r="G77" s="154">
        <v>1.9909645306499819</v>
      </c>
      <c r="H77" s="154">
        <v>1.089824208940231</v>
      </c>
      <c r="I77" s="154">
        <v>1</v>
      </c>
      <c r="J77" s="154">
        <v>0.38468419131069731</v>
      </c>
      <c r="K77" s="154">
        <v>0.19155432920493162</v>
      </c>
      <c r="L77" s="154">
        <v>7.4953660797034291E-2</v>
      </c>
      <c r="M77" s="154">
        <v>6.1336254107338438E-3</v>
      </c>
      <c r="N77" s="154">
        <v>3.2360210071053441E-2</v>
      </c>
      <c r="O77" s="154">
        <v>2.0156149071811721E-2</v>
      </c>
      <c r="P77" s="154">
        <v>3.1062712388013593E-2</v>
      </c>
      <c r="Q77" s="149">
        <v>9.0823793888409263E-2</v>
      </c>
      <c r="R77" s="149">
        <v>0.19923591429542326</v>
      </c>
      <c r="S77" s="70">
        <v>1.2</v>
      </c>
      <c r="T77" s="697">
        <v>503034.57357528113</v>
      </c>
      <c r="U77" s="640"/>
      <c r="V77" s="154">
        <v>5.2396613968293371E-2</v>
      </c>
      <c r="W77" s="342">
        <v>8.1625000000000003E-2</v>
      </c>
      <c r="X77" s="149">
        <v>8.9509803921568598E-2</v>
      </c>
      <c r="Y77" s="580">
        <v>13859.25</v>
      </c>
      <c r="Z77" s="254">
        <v>3.6096296296296293E-2</v>
      </c>
      <c r="AA77" s="254">
        <v>4.3499999999999997E-2</v>
      </c>
      <c r="AB77" s="254">
        <v>3.5000000000000003E-2</v>
      </c>
      <c r="AC77" s="340">
        <v>0.33300000000000002</v>
      </c>
      <c r="AD77" s="340">
        <v>9.0408675475574657E-3</v>
      </c>
      <c r="AE77" s="340">
        <v>-8.4494023658737705E-3</v>
      </c>
      <c r="AF77" s="341">
        <v>4.8285025991984226E-2</v>
      </c>
      <c r="AG77" s="340">
        <v>-2.6750121339236821E-2</v>
      </c>
      <c r="AH77" s="340">
        <v>-2.2126369834431087E-2</v>
      </c>
      <c r="AI77" s="340">
        <v>0</v>
      </c>
    </row>
    <row r="78" spans="1:35" s="32" customFormat="1" outlineLevel="1">
      <c r="A78" s="398"/>
      <c r="B78" s="264" t="s">
        <v>947</v>
      </c>
      <c r="C78" s="57" t="s">
        <v>948</v>
      </c>
      <c r="D78" s="154">
        <v>1.1075061010993019</v>
      </c>
      <c r="E78" s="154">
        <v>1.1881022217429924</v>
      </c>
      <c r="F78" s="154">
        <v>1.2023863635912251</v>
      </c>
      <c r="G78" s="154">
        <v>1.4734744047999786</v>
      </c>
      <c r="H78" s="154">
        <v>0.82034081940159287</v>
      </c>
      <c r="I78" s="154">
        <v>1</v>
      </c>
      <c r="J78" s="154">
        <v>0.8382890793139417</v>
      </c>
      <c r="K78" s="154">
        <v>0.4798216195518703</v>
      </c>
      <c r="L78" s="154">
        <v>4.5820569866775816E-2</v>
      </c>
      <c r="M78" s="154">
        <v>4.8374638551830678E-3</v>
      </c>
      <c r="N78" s="154">
        <v>1.5321936437936542E-2</v>
      </c>
      <c r="O78" s="154">
        <v>1.5067767405627368E-2</v>
      </c>
      <c r="P78" s="154">
        <v>1.8831614666543434E-3</v>
      </c>
      <c r="Q78" s="149">
        <v>9.3301821889034103E-2</v>
      </c>
      <c r="R78" s="149">
        <v>0.21382814782684245</v>
      </c>
      <c r="S78" s="70">
        <v>0.8</v>
      </c>
      <c r="T78" s="697">
        <v>158393.93903502627</v>
      </c>
      <c r="U78" s="640"/>
      <c r="V78" s="154">
        <v>2.1000000000000001E-2</v>
      </c>
      <c r="W78" s="342">
        <v>6.9800000000000001E-2</v>
      </c>
      <c r="X78" s="149">
        <v>0.14812500000000003</v>
      </c>
      <c r="Y78" s="580">
        <v>4978.62</v>
      </c>
      <c r="Z78" s="254">
        <v>4.5499999999999999E-2</v>
      </c>
      <c r="AA78" s="254">
        <v>4.9000000000000002E-2</v>
      </c>
      <c r="AB78" s="254">
        <v>3.4317007126281732E-2</v>
      </c>
      <c r="AC78" s="340">
        <v>0.45</v>
      </c>
      <c r="AD78" s="340">
        <v>5.9856542209306474E-2</v>
      </c>
      <c r="AE78" s="340">
        <v>7.1512192131683666E-2</v>
      </c>
      <c r="AF78" s="341">
        <v>-7.8556795911722654E-2</v>
      </c>
      <c r="AG78" s="340">
        <v>-8.2696084189018859E-2</v>
      </c>
      <c r="AH78" s="340">
        <v>2.9884145759751402E-2</v>
      </c>
      <c r="AI78" s="340">
        <v>0</v>
      </c>
    </row>
    <row r="79" spans="1:35" s="32" customFormat="1" outlineLevel="1">
      <c r="A79" s="398"/>
      <c r="B79" s="264" t="s">
        <v>949</v>
      </c>
      <c r="C79" s="57" t="s">
        <v>950</v>
      </c>
      <c r="D79" s="154">
        <v>1.1709094800254698</v>
      </c>
      <c r="E79" s="154">
        <v>1.2982995874950012</v>
      </c>
      <c r="F79" s="154">
        <v>1.5065873244209751</v>
      </c>
      <c r="G79" s="154">
        <v>1.7053521105550506</v>
      </c>
      <c r="H79" s="154">
        <v>1.0503169022506038</v>
      </c>
      <c r="I79" s="154">
        <v>1</v>
      </c>
      <c r="J79" s="154">
        <v>0.71738891291926332</v>
      </c>
      <c r="K79" s="154">
        <v>0.27660028943250936</v>
      </c>
      <c r="L79" s="154">
        <v>9.3227172479347226E-2</v>
      </c>
      <c r="M79" s="154">
        <v>1.3024462921132312E-2</v>
      </c>
      <c r="N79" s="154">
        <v>4.5368278837784291E-2</v>
      </c>
      <c r="O79" s="154">
        <v>2.3654432536058912E-2</v>
      </c>
      <c r="P79" s="154">
        <v>2.265263292802102E-3</v>
      </c>
      <c r="Q79" s="58">
        <v>0.03</v>
      </c>
      <c r="R79" s="344">
        <v>0.09</v>
      </c>
      <c r="S79" s="70">
        <v>0.95</v>
      </c>
      <c r="T79" s="606">
        <f>T64</f>
        <v>446700.71346166095</v>
      </c>
      <c r="U79" s="640"/>
      <c r="V79" s="154">
        <v>4.8000000000000001E-2</v>
      </c>
      <c r="W79" s="345">
        <v>0.04</v>
      </c>
      <c r="X79" s="149">
        <f>X64</f>
        <v>5.8000000000000003E-2</v>
      </c>
      <c r="Y79" s="580">
        <v>12592.41</v>
      </c>
      <c r="Z79" s="254">
        <v>0.05</v>
      </c>
      <c r="AA79" s="254">
        <v>7.7499999999999999E-2</v>
      </c>
      <c r="AB79" s="254">
        <v>0.06</v>
      </c>
      <c r="AC79" s="340">
        <v>0.42</v>
      </c>
      <c r="AD79" s="340">
        <v>-1.1016479405511162E-2</v>
      </c>
      <c r="AE79" s="340">
        <v>1.8731861788812171E-2</v>
      </c>
      <c r="AF79" s="341">
        <v>-8.8920192403868586E-2</v>
      </c>
      <c r="AG79" s="340">
        <v>0.1191499268358896</v>
      </c>
      <c r="AH79" s="340">
        <v>-3.7945116815321922E-2</v>
      </c>
      <c r="AI79" s="340">
        <v>0</v>
      </c>
    </row>
    <row r="80" spans="1:35" s="32" customFormat="1" outlineLevel="1">
      <c r="A80" s="398"/>
      <c r="B80" s="264" t="s">
        <v>951</v>
      </c>
      <c r="C80" s="57" t="s">
        <v>952</v>
      </c>
      <c r="D80" s="154">
        <v>1.192653265029965</v>
      </c>
      <c r="E80" s="154">
        <v>1.5895289647631112</v>
      </c>
      <c r="F80" s="154">
        <v>1.9468425775581359</v>
      </c>
      <c r="G80" s="154">
        <v>2.1211419910453304</v>
      </c>
      <c r="H80" s="154">
        <v>1.074759273875296</v>
      </c>
      <c r="I80" s="154">
        <v>1</v>
      </c>
      <c r="J80" s="154">
        <v>0.42490456759247069</v>
      </c>
      <c r="K80" s="154">
        <v>0.21365576637394459</v>
      </c>
      <c r="L80" s="154">
        <v>6.3070008838075176E-2</v>
      </c>
      <c r="M80" s="154">
        <v>5.1336053705410035E-3</v>
      </c>
      <c r="N80" s="154">
        <v>4.9041915041651785E-2</v>
      </c>
      <c r="O80" s="154">
        <v>1.0906560860490043E-2</v>
      </c>
      <c r="P80" s="154">
        <v>1.5043532221365577E-2</v>
      </c>
      <c r="Q80" s="149">
        <v>4.7804430438865626E-2</v>
      </c>
      <c r="R80" s="149">
        <v>0.28985987326207385</v>
      </c>
      <c r="S80" s="71">
        <f>S81</f>
        <v>0.9</v>
      </c>
      <c r="T80" s="697">
        <v>1669195.4881652091</v>
      </c>
      <c r="U80" s="640"/>
      <c r="V80" s="154">
        <v>3.5000000000000003E-2</v>
      </c>
      <c r="W80" s="342">
        <v>8.9624999999999996E-2</v>
      </c>
      <c r="X80" s="149">
        <v>6.3108108108108102E-2</v>
      </c>
      <c r="Y80" s="580">
        <v>12170.130000000001</v>
      </c>
      <c r="Z80" s="254">
        <v>1.3903703703703703E-2</v>
      </c>
      <c r="AA80" s="254">
        <v>1.2E-2</v>
      </c>
      <c r="AB80" s="254">
        <v>3.1277347492521812E-2</v>
      </c>
      <c r="AC80" s="340">
        <v>0.27450000000000002</v>
      </c>
      <c r="AD80" s="340">
        <v>9.0408675120473431E-3</v>
      </c>
      <c r="AE80" s="340">
        <v>-8.4494023635642568E-3</v>
      </c>
      <c r="AF80" s="341">
        <v>4.8285025972339163E-2</v>
      </c>
      <c r="AG80" s="340">
        <v>-2.6750121296515217E-2</v>
      </c>
      <c r="AH80" s="340">
        <v>-2.2126369824307046E-2</v>
      </c>
      <c r="AI80" s="340">
        <v>0</v>
      </c>
    </row>
    <row r="81" spans="1:35" s="32" customFormat="1" ht="25.5" outlineLevel="1">
      <c r="A81" s="398"/>
      <c r="B81" s="264" t="s">
        <v>953</v>
      </c>
      <c r="C81" s="57" t="s">
        <v>954</v>
      </c>
      <c r="D81" s="154">
        <v>1.192653265029965</v>
      </c>
      <c r="E81" s="154">
        <v>1.5895289647631112</v>
      </c>
      <c r="F81" s="154">
        <v>1.9468425775581359</v>
      </c>
      <c r="G81" s="154">
        <v>2.1211419910453304</v>
      </c>
      <c r="H81" s="154">
        <v>1.083006146707804</v>
      </c>
      <c r="I81" s="154">
        <v>1</v>
      </c>
      <c r="J81" s="154">
        <v>0.42490456759247069</v>
      </c>
      <c r="K81" s="154">
        <v>0.21365576637394459</v>
      </c>
      <c r="L81" s="154">
        <v>6.3070008838075176E-2</v>
      </c>
      <c r="M81" s="154">
        <v>5.1336053705410035E-3</v>
      </c>
      <c r="N81" s="154">
        <v>4.9041915041651785E-2</v>
      </c>
      <c r="O81" s="154">
        <v>1.0906560860490043E-2</v>
      </c>
      <c r="P81" s="154">
        <v>1.5043532221365577E-2</v>
      </c>
      <c r="Q81" s="149">
        <v>2.2049248748948841E-2</v>
      </c>
      <c r="R81" s="149">
        <v>0.14452690762186521</v>
      </c>
      <c r="S81" s="70">
        <v>0.9</v>
      </c>
      <c r="T81" s="697">
        <v>389992.01025427703</v>
      </c>
      <c r="U81" s="640"/>
      <c r="V81" s="154">
        <v>3.5000000000000003E-2</v>
      </c>
      <c r="W81" s="342">
        <v>9.1483333333333319E-2</v>
      </c>
      <c r="X81" s="149">
        <v>3.0480769230769221E-2</v>
      </c>
      <c r="Y81" s="580">
        <v>4315.1099999999997</v>
      </c>
      <c r="Z81" s="254">
        <v>1.3222222222222224E-2</v>
      </c>
      <c r="AA81" s="254">
        <v>1.55E-2</v>
      </c>
      <c r="AB81" s="254">
        <v>1.4192603551401171E-2</v>
      </c>
      <c r="AC81" s="340">
        <v>0.33750000000000002</v>
      </c>
      <c r="AD81" s="340">
        <v>9.0408675120473431E-3</v>
      </c>
      <c r="AE81" s="340">
        <v>-8.4494023635642568E-3</v>
      </c>
      <c r="AF81" s="341">
        <v>4.8285025972339163E-2</v>
      </c>
      <c r="AG81" s="340">
        <v>-2.6750121296515217E-2</v>
      </c>
      <c r="AH81" s="340">
        <v>-2.2126369824307046E-2</v>
      </c>
      <c r="AI81" s="340">
        <v>0</v>
      </c>
    </row>
    <row r="82" spans="1:35" s="32" customFormat="1" outlineLevel="1">
      <c r="A82" s="398"/>
      <c r="B82" s="264" t="s">
        <v>955</v>
      </c>
      <c r="C82" s="57" t="s">
        <v>956</v>
      </c>
      <c r="D82" s="154">
        <v>1.4215987704206476</v>
      </c>
      <c r="E82" s="154">
        <v>1.5257485977410694</v>
      </c>
      <c r="F82" s="154">
        <v>1.8436922573776058</v>
      </c>
      <c r="G82" s="154">
        <v>1.9324043231771899</v>
      </c>
      <c r="H82" s="154">
        <v>0.9721207337781923</v>
      </c>
      <c r="I82" s="154">
        <v>1</v>
      </c>
      <c r="J82" s="154">
        <v>0.66896324256972184</v>
      </c>
      <c r="K82" s="154">
        <v>0.27302378421959173</v>
      </c>
      <c r="L82" s="154">
        <v>0.12689192655843443</v>
      </c>
      <c r="M82" s="154">
        <v>1.2221937186205886E-2</v>
      </c>
      <c r="N82" s="154">
        <v>5.6363836259024448E-2</v>
      </c>
      <c r="O82" s="154">
        <v>3.3642393813904055E-2</v>
      </c>
      <c r="P82" s="154">
        <v>1.7004434346025582E-2</v>
      </c>
      <c r="Q82" s="149">
        <v>6.6290624357274369E-2</v>
      </c>
      <c r="R82" s="149">
        <v>0.2568549051001166</v>
      </c>
      <c r="S82" s="70">
        <f>S93</f>
        <v>1.05</v>
      </c>
      <c r="T82" s="697">
        <v>848867.95251825952</v>
      </c>
      <c r="U82" s="640"/>
      <c r="V82" s="154">
        <v>6.7000000000000004E-2</v>
      </c>
      <c r="W82" s="342">
        <v>6.0374999999999998E-2</v>
      </c>
      <c r="X82" s="149">
        <v>3.5738636363636361E-2</v>
      </c>
      <c r="Y82" s="580">
        <v>10727.34</v>
      </c>
      <c r="Z82" s="254">
        <v>2.3237037037037039E-2</v>
      </c>
      <c r="AA82" s="254">
        <v>2.8999999999999998E-2</v>
      </c>
      <c r="AB82" s="254">
        <v>3.6112204899417272E-2</v>
      </c>
      <c r="AC82" s="340">
        <v>0.315</v>
      </c>
      <c r="AD82" s="340">
        <v>-1.242080951269299E-2</v>
      </c>
      <c r="AE82" s="340">
        <v>-4.4286662000348115E-2</v>
      </c>
      <c r="AF82" s="341">
        <v>1.1310644677207327E-2</v>
      </c>
      <c r="AG82" s="340">
        <v>-0.10208993440911857</v>
      </c>
      <c r="AH82" s="340">
        <v>0.14748676124495247</v>
      </c>
      <c r="AI82" s="340">
        <v>0</v>
      </c>
    </row>
    <row r="83" spans="1:35" s="32" customFormat="1" outlineLevel="1">
      <c r="A83" s="398"/>
      <c r="B83" s="264" t="s">
        <v>957</v>
      </c>
      <c r="C83" s="57" t="s">
        <v>958</v>
      </c>
      <c r="D83" s="154">
        <v>0.69621678023567413</v>
      </c>
      <c r="E83" s="154">
        <v>0.94379129010607787</v>
      </c>
      <c r="F83" s="154">
        <v>1.6397331350232369</v>
      </c>
      <c r="G83" s="154">
        <v>1.5574599528077457</v>
      </c>
      <c r="H83" s="154">
        <v>0.97304321829183704</v>
      </c>
      <c r="I83" s="154">
        <v>1</v>
      </c>
      <c r="J83" s="154">
        <v>0.32848829964044302</v>
      </c>
      <c r="K83" s="154">
        <v>7.2691902556252103E-2</v>
      </c>
      <c r="L83" s="154">
        <v>1.6E-2</v>
      </c>
      <c r="M83" s="154">
        <v>2.458262661561246E-3</v>
      </c>
      <c r="N83" s="154">
        <v>2.757346912807758E-2</v>
      </c>
      <c r="O83" s="154">
        <v>4.9139017770589259E-3</v>
      </c>
      <c r="P83" s="154">
        <v>8.1567358889295533E-2</v>
      </c>
      <c r="Q83" s="149">
        <v>3.580882039349241E-2</v>
      </c>
      <c r="R83" s="149">
        <v>8.5975642481429401E-2</v>
      </c>
      <c r="S83" s="70">
        <v>0.79</v>
      </c>
      <c r="T83" s="697">
        <v>320790.18791935663</v>
      </c>
      <c r="U83" s="640"/>
      <c r="V83" s="154">
        <v>5.8999999999999997E-2</v>
      </c>
      <c r="W83" s="342">
        <v>8.3000000000000004E-2</v>
      </c>
      <c r="X83" s="149">
        <v>6.4027777777777781E-2</v>
      </c>
      <c r="Y83" s="580">
        <v>4879.17</v>
      </c>
      <c r="Z83" s="254">
        <v>1.4940740740740741E-2</v>
      </c>
      <c r="AA83" s="254">
        <v>1.7000000000000001E-2</v>
      </c>
      <c r="AB83" s="254">
        <v>2.3108870862121822E-2</v>
      </c>
      <c r="AC83" s="340">
        <v>0.27450000000000002</v>
      </c>
      <c r="AD83" s="340">
        <v>-2.3757371082265832E-3</v>
      </c>
      <c r="AE83" s="340">
        <v>-1.8485274302308743E-2</v>
      </c>
      <c r="AF83" s="341">
        <v>7.5292360804280756E-3</v>
      </c>
      <c r="AG83" s="340">
        <v>1.2091473038458811E-2</v>
      </c>
      <c r="AH83" s="340">
        <v>1.2403022916485096E-3</v>
      </c>
      <c r="AI83" s="340">
        <v>0</v>
      </c>
    </row>
    <row r="84" spans="1:35" s="32" customFormat="1" outlineLevel="1">
      <c r="A84" s="398"/>
      <c r="B84" s="264" t="s">
        <v>959</v>
      </c>
      <c r="C84" s="57" t="s">
        <v>960</v>
      </c>
      <c r="D84" s="154">
        <v>0.69621678023567413</v>
      </c>
      <c r="E84" s="154">
        <v>0.94379129010607787</v>
      </c>
      <c r="F84" s="154">
        <v>1.6397331350232369</v>
      </c>
      <c r="G84" s="154">
        <v>1.5574599528077457</v>
      </c>
      <c r="H84" s="154">
        <v>0.97304321829183704</v>
      </c>
      <c r="I84" s="154">
        <v>1</v>
      </c>
      <c r="J84" s="154">
        <v>0.32848829964044302</v>
      </c>
      <c r="K84" s="154">
        <v>7.2691902556252103E-2</v>
      </c>
      <c r="L84" s="154">
        <v>1.6E-2</v>
      </c>
      <c r="M84" s="154">
        <v>2.458262661561246E-3</v>
      </c>
      <c r="N84" s="154">
        <v>2.757346912807758E-2</v>
      </c>
      <c r="O84" s="154">
        <v>4.9139017770589259E-3</v>
      </c>
      <c r="P84" s="154">
        <v>8.1567358889295533E-2</v>
      </c>
      <c r="Q84" s="149">
        <v>2.0675820933757569E-2</v>
      </c>
      <c r="R84" s="149">
        <v>6.3642009013842399E-2</v>
      </c>
      <c r="S84" s="71">
        <f>S83</f>
        <v>0.79</v>
      </c>
      <c r="T84" s="697">
        <v>501671.20606038114</v>
      </c>
      <c r="U84" s="640"/>
      <c r="V84" s="154">
        <v>5.8999999999999997E-2</v>
      </c>
      <c r="W84" s="342">
        <v>5.7700000000000001E-2</v>
      </c>
      <c r="X84" s="149">
        <v>6.5000000000000002E-2</v>
      </c>
      <c r="Y84" s="580">
        <v>4879.17</v>
      </c>
      <c r="Z84" s="254">
        <v>1.4940740740740741E-2</v>
      </c>
      <c r="AA84" s="254">
        <v>1.7000000000000001E-2</v>
      </c>
      <c r="AB84" s="254">
        <v>2.1999999999999999E-2</v>
      </c>
      <c r="AC84" s="340">
        <v>0.27450000000000002</v>
      </c>
      <c r="AD84" s="340">
        <v>-2.3757371082265832E-3</v>
      </c>
      <c r="AE84" s="340">
        <v>-1.8485274302308743E-2</v>
      </c>
      <c r="AF84" s="341">
        <v>7.5292360804280756E-3</v>
      </c>
      <c r="AG84" s="340">
        <v>1.2091473038458811E-2</v>
      </c>
      <c r="AH84" s="340">
        <v>1.2403022916485096E-3</v>
      </c>
      <c r="AI84" s="340">
        <v>0</v>
      </c>
    </row>
    <row r="85" spans="1:35" s="32" customFormat="1" outlineLevel="1">
      <c r="A85" s="398"/>
      <c r="B85" s="264" t="s">
        <v>961</v>
      </c>
      <c r="C85" s="57" t="s">
        <v>962</v>
      </c>
      <c r="D85" s="154">
        <v>0.50151879874094407</v>
      </c>
      <c r="E85" s="154">
        <v>0.84571548327821899</v>
      </c>
      <c r="F85" s="154">
        <v>0.89742525816321472</v>
      </c>
      <c r="G85" s="154">
        <v>1.6324121647175585</v>
      </c>
      <c r="H85" s="154">
        <v>0.98149817033794939</v>
      </c>
      <c r="I85" s="154">
        <v>1</v>
      </c>
      <c r="J85" s="154">
        <v>0.13586877296187153</v>
      </c>
      <c r="K85" s="154">
        <v>7.2403128811601478E-2</v>
      </c>
      <c r="L85" s="154">
        <v>1.0999999999999999E-2</v>
      </c>
      <c r="M85" s="154">
        <v>1.1625096183831521E-3</v>
      </c>
      <c r="N85" s="154">
        <v>7.228780047644442E-3</v>
      </c>
      <c r="O85" s="154">
        <v>2.3526980372039983E-4</v>
      </c>
      <c r="P85" s="154">
        <v>4.2367017203297098E-3</v>
      </c>
      <c r="Q85" s="149">
        <v>2.9368116090762203E-2</v>
      </c>
      <c r="R85" s="149">
        <v>0.15667341633714102</v>
      </c>
      <c r="S85" s="70">
        <v>0.79</v>
      </c>
      <c r="T85" s="697">
        <v>167362.962298</v>
      </c>
      <c r="U85" s="640"/>
      <c r="V85" s="154">
        <v>3.2000000000000001E-2</v>
      </c>
      <c r="W85" s="342">
        <v>9.4150000000000011E-2</v>
      </c>
      <c r="X85" s="149">
        <v>6.0222222222222205E-2</v>
      </c>
      <c r="Y85" s="580">
        <v>4376.3100000000004</v>
      </c>
      <c r="Z85" s="254">
        <v>1.9377777777777782E-2</v>
      </c>
      <c r="AA85" s="254">
        <v>2.0999999999999998E-2</v>
      </c>
      <c r="AB85" s="254">
        <v>2.0456638984724586E-2</v>
      </c>
      <c r="AC85" s="340">
        <v>0.32400000000000001</v>
      </c>
      <c r="AD85" s="340">
        <v>-2.3757371082265832E-3</v>
      </c>
      <c r="AE85" s="340">
        <v>-1.8485274302308743E-2</v>
      </c>
      <c r="AF85" s="341">
        <v>7.5292360804280756E-3</v>
      </c>
      <c r="AG85" s="340">
        <v>1.2091473038458811E-2</v>
      </c>
      <c r="AH85" s="340">
        <v>1.2403022916485096E-3</v>
      </c>
      <c r="AI85" s="340">
        <v>0</v>
      </c>
    </row>
    <row r="86" spans="1:35" s="32" customFormat="1" outlineLevel="1">
      <c r="A86" s="398"/>
      <c r="B86" s="264" t="s">
        <v>963</v>
      </c>
      <c r="C86" s="57" t="s">
        <v>964</v>
      </c>
      <c r="D86" s="154">
        <v>0.50151879874094407</v>
      </c>
      <c r="E86" s="154">
        <v>0.84571548327821899</v>
      </c>
      <c r="F86" s="154">
        <v>0.89742525816321472</v>
      </c>
      <c r="G86" s="154">
        <v>1.6324121647175585</v>
      </c>
      <c r="H86" s="154">
        <v>0.97304321829183704</v>
      </c>
      <c r="I86" s="154">
        <v>1</v>
      </c>
      <c r="J86" s="154">
        <v>0.13586877296187153</v>
      </c>
      <c r="K86" s="154">
        <v>7.2403128811601478E-2</v>
      </c>
      <c r="L86" s="154">
        <v>1.0999999999999999E-2</v>
      </c>
      <c r="M86" s="154">
        <v>1.1625096183831521E-3</v>
      </c>
      <c r="N86" s="154">
        <v>7.228780047644442E-3</v>
      </c>
      <c r="O86" s="154">
        <v>2.3526980372039983E-4</v>
      </c>
      <c r="P86" s="154">
        <v>4.2367017203297098E-3</v>
      </c>
      <c r="Q86" s="149">
        <v>2.5836385272410872E-2</v>
      </c>
      <c r="R86" s="149">
        <v>9.298008333360093E-2</v>
      </c>
      <c r="S86" s="71">
        <f>S84</f>
        <v>0.79</v>
      </c>
      <c r="T86" s="697">
        <v>327567.97094218247</v>
      </c>
      <c r="U86" s="640"/>
      <c r="V86" s="154">
        <v>3.2000000000000001E-2</v>
      </c>
      <c r="W86" s="342">
        <v>0.10050000000000001</v>
      </c>
      <c r="X86" s="149">
        <v>4.8095238095238087E-2</v>
      </c>
      <c r="Y86" s="580">
        <v>4879.17</v>
      </c>
      <c r="Z86" s="254">
        <v>1.6533333333333334E-2</v>
      </c>
      <c r="AA86" s="254">
        <v>1.7000000000000001E-2</v>
      </c>
      <c r="AB86" s="254">
        <v>2.092617345469602E-2</v>
      </c>
      <c r="AC86" s="340">
        <v>0.31950000000000001</v>
      </c>
      <c r="AD86" s="340">
        <v>-2.3757371082265832E-3</v>
      </c>
      <c r="AE86" s="340">
        <v>-1.8485274302308743E-2</v>
      </c>
      <c r="AF86" s="341">
        <v>7.5292360804280756E-3</v>
      </c>
      <c r="AG86" s="340">
        <v>1.2091473038458811E-2</v>
      </c>
      <c r="AH86" s="340">
        <v>1.2403022916485096E-3</v>
      </c>
      <c r="AI86" s="340">
        <v>0</v>
      </c>
    </row>
    <row r="87" spans="1:35" s="32" customFormat="1" outlineLevel="1">
      <c r="A87" s="398"/>
      <c r="B87" s="264" t="s">
        <v>965</v>
      </c>
      <c r="C87" s="57" t="s">
        <v>966</v>
      </c>
      <c r="D87" s="154">
        <v>1.5518304252583999</v>
      </c>
      <c r="E87" s="154">
        <v>1.6026896130099491</v>
      </c>
      <c r="F87" s="154">
        <v>1.8760534820611334</v>
      </c>
      <c r="G87" s="154">
        <v>1.9167112840464655</v>
      </c>
      <c r="H87" s="154">
        <v>1.0697376288536511</v>
      </c>
      <c r="I87" s="154">
        <v>1</v>
      </c>
      <c r="J87" s="154">
        <v>0.93691198879543702</v>
      </c>
      <c r="K87" s="154">
        <v>0.63597059092181019</v>
      </c>
      <c r="L87" s="154">
        <v>0.28931637376960762</v>
      </c>
      <c r="M87" s="154">
        <v>1.3664985305609967E-2</v>
      </c>
      <c r="N87" s="154">
        <v>0.10232427988789637</v>
      </c>
      <c r="O87" s="154">
        <v>0.14221878765120288</v>
      </c>
      <c r="P87" s="154">
        <v>4.3355337463517753E-2</v>
      </c>
      <c r="Q87" s="149">
        <v>4.8244034612139483E-2</v>
      </c>
      <c r="R87" s="149">
        <v>0.14154735097569868</v>
      </c>
      <c r="S87" s="70">
        <v>1.35</v>
      </c>
      <c r="T87" s="697">
        <v>337521.05883836333</v>
      </c>
      <c r="U87" s="640"/>
      <c r="V87" s="154">
        <v>9.5000000000000001E-2</v>
      </c>
      <c r="W87" s="342">
        <v>7.8674999999999995E-2</v>
      </c>
      <c r="X87" s="149">
        <v>5.4375000000000007E-2</v>
      </c>
      <c r="Y87" s="580">
        <v>11022.630000000001</v>
      </c>
      <c r="Z87" s="254">
        <v>4.7266666666666672E-2</v>
      </c>
      <c r="AA87" s="254">
        <v>5.7000000000000002E-2</v>
      </c>
      <c r="AB87" s="254">
        <v>5.8243094907335279E-2</v>
      </c>
      <c r="AC87" s="340">
        <v>0.33750000000000002</v>
      </c>
      <c r="AD87" s="340">
        <v>4.5036158483020047E-2</v>
      </c>
      <c r="AE87" s="340">
        <v>-1.7734587968843529E-2</v>
      </c>
      <c r="AF87" s="341">
        <v>-1.705995245768463E-2</v>
      </c>
      <c r="AG87" s="340">
        <v>-8.1893727548011108E-2</v>
      </c>
      <c r="AH87" s="340">
        <v>7.1652109491519289E-2</v>
      </c>
      <c r="AI87" s="340">
        <v>0</v>
      </c>
    </row>
    <row r="88" spans="1:35" s="32" customFormat="1" outlineLevel="1">
      <c r="A88" s="398"/>
      <c r="B88" s="264" t="s">
        <v>967</v>
      </c>
      <c r="C88" s="57" t="s">
        <v>968</v>
      </c>
      <c r="D88" s="154">
        <v>1.0423239049018456</v>
      </c>
      <c r="E88" s="154">
        <v>1.2320295495849645</v>
      </c>
      <c r="F88" s="154">
        <v>1.7464930592633232</v>
      </c>
      <c r="G88" s="154">
        <v>1.5385920517689851</v>
      </c>
      <c r="H88" s="154">
        <v>0.95085503814785588</v>
      </c>
      <c r="I88" s="154">
        <v>1</v>
      </c>
      <c r="J88" s="154">
        <v>0.71113486694144923</v>
      </c>
      <c r="K88" s="154">
        <v>0.17526680985829018</v>
      </c>
      <c r="L88" s="154">
        <v>1.9E-2</v>
      </c>
      <c r="M88" s="154">
        <v>6.1415679679769075E-3</v>
      </c>
      <c r="N88" s="154">
        <v>3.4096109990078144E-2</v>
      </c>
      <c r="O88" s="154">
        <v>5.6438337094794734E-3</v>
      </c>
      <c r="P88" s="154">
        <v>2.4722552549377797E-3</v>
      </c>
      <c r="Q88" s="149">
        <v>4.699541694098508E-2</v>
      </c>
      <c r="R88" s="149">
        <v>0.14502178301160715</v>
      </c>
      <c r="S88" s="70">
        <v>0.81</v>
      </c>
      <c r="T88" s="697">
        <v>389426.26085131487</v>
      </c>
      <c r="U88" s="640"/>
      <c r="V88" s="154">
        <v>3.1E-2</v>
      </c>
      <c r="W88" s="342">
        <v>7.3300000000000004E-2</v>
      </c>
      <c r="X88" s="149">
        <v>8.1296296296296325E-2</v>
      </c>
      <c r="Y88" s="580">
        <v>8148.27</v>
      </c>
      <c r="Z88" s="254">
        <v>3.4777777777777776E-2</v>
      </c>
      <c r="AA88" s="254">
        <v>3.9500000000000007E-2</v>
      </c>
      <c r="AB88" s="254">
        <v>2.369014658428872E-2</v>
      </c>
      <c r="AC88" s="340">
        <v>0.35100000000000003</v>
      </c>
      <c r="AD88" s="340">
        <v>-3.4220596687599088E-2</v>
      </c>
      <c r="AE88" s="340">
        <v>4.526461576573898E-2</v>
      </c>
      <c r="AF88" s="341">
        <v>7.6398672480662594E-2</v>
      </c>
      <c r="AG88" s="340">
        <v>1.2909534053453187E-2</v>
      </c>
      <c r="AH88" s="340">
        <v>-0.10035222561225549</v>
      </c>
      <c r="AI88" s="340">
        <v>0</v>
      </c>
    </row>
    <row r="89" spans="1:35" s="32" customFormat="1" outlineLevel="1">
      <c r="A89" s="398"/>
      <c r="B89" s="264" t="s">
        <v>969</v>
      </c>
      <c r="C89" s="57" t="s">
        <v>970</v>
      </c>
      <c r="D89" s="154">
        <v>1.305953714572567</v>
      </c>
      <c r="E89" s="154">
        <v>1.4345052164687229</v>
      </c>
      <c r="F89" s="154">
        <v>1.8717035743475812</v>
      </c>
      <c r="G89" s="154">
        <v>1.9220760784515993</v>
      </c>
      <c r="H89" s="154">
        <v>1.0818825189543422</v>
      </c>
      <c r="I89" s="154">
        <v>1</v>
      </c>
      <c r="J89" s="154">
        <v>0.8256188318244152</v>
      </c>
      <c r="K89" s="154">
        <v>0.35106106596597619</v>
      </c>
      <c r="L89" s="154">
        <v>0.20606022737362742</v>
      </c>
      <c r="M89" s="154">
        <v>9.6158589323239521E-3</v>
      </c>
      <c r="N89" s="154">
        <v>5.3679776112285874E-2</v>
      </c>
      <c r="O89" s="154">
        <v>0.14868735632939908</v>
      </c>
      <c r="P89" s="154">
        <v>9.4389323897251062E-2</v>
      </c>
      <c r="Q89" s="149">
        <v>8.9159815450992441E-2</v>
      </c>
      <c r="R89" s="149">
        <v>0.19007283351781332</v>
      </c>
      <c r="S89" s="70">
        <v>1.5</v>
      </c>
      <c r="T89" s="697">
        <v>259550.89021176746</v>
      </c>
      <c r="U89" s="640"/>
      <c r="V89" s="154">
        <v>0.1</v>
      </c>
      <c r="W89" s="342">
        <v>8.4625000000000006E-2</v>
      </c>
      <c r="X89" s="149">
        <v>9.2558139534883774E-2</v>
      </c>
      <c r="Y89" s="580">
        <v>11861.07</v>
      </c>
      <c r="Z89" s="254">
        <v>4.6622222222222225E-2</v>
      </c>
      <c r="AA89" s="254">
        <v>5.6999999999999995E-2</v>
      </c>
      <c r="AB89" s="254">
        <v>0.06</v>
      </c>
      <c r="AC89" s="340">
        <v>0.31950000000000001</v>
      </c>
      <c r="AD89" s="340">
        <v>5.5109595468226885E-2</v>
      </c>
      <c r="AE89" s="340">
        <v>-4.5506939986380293E-2</v>
      </c>
      <c r="AF89" s="341">
        <v>0.10810456100620677</v>
      </c>
      <c r="AG89" s="340">
        <v>-0.13987982939400737</v>
      </c>
      <c r="AH89" s="340">
        <v>2.2172612905954125E-2</v>
      </c>
      <c r="AI89" s="340">
        <v>0</v>
      </c>
    </row>
    <row r="90" spans="1:35" s="32" customFormat="1" outlineLevel="1">
      <c r="A90" s="398"/>
      <c r="B90" s="264" t="s">
        <v>971</v>
      </c>
      <c r="C90" s="57" t="s">
        <v>972</v>
      </c>
      <c r="D90" s="154">
        <v>0.6968060257180273</v>
      </c>
      <c r="E90" s="154">
        <v>1.039068795945381</v>
      </c>
      <c r="F90" s="154">
        <v>1.3581392458921726</v>
      </c>
      <c r="G90" s="154">
        <v>1.5745585189657196</v>
      </c>
      <c r="H90" s="154">
        <v>0.99774222094664089</v>
      </c>
      <c r="I90" s="154">
        <v>1</v>
      </c>
      <c r="J90" s="154">
        <v>0.28844346492698503</v>
      </c>
      <c r="K90" s="154">
        <v>9.5746610313879169E-2</v>
      </c>
      <c r="L90" s="154">
        <v>1.2596936504185238E-2</v>
      </c>
      <c r="M90" s="154">
        <v>2.7260386152163519E-3</v>
      </c>
      <c r="N90" s="154">
        <v>2.3479106782669873E-2</v>
      </c>
      <c r="O90" s="154">
        <v>2.7700069799779059E-3</v>
      </c>
      <c r="P90" s="154">
        <v>2.0406817294956279E-2</v>
      </c>
      <c r="Q90" s="149">
        <v>2.5444906629016193E-2</v>
      </c>
      <c r="R90" s="149">
        <v>0.18752943230925767</v>
      </c>
      <c r="S90" s="70">
        <f>S76</f>
        <v>1.1000000000000001</v>
      </c>
      <c r="T90" s="697">
        <v>386125.63315714791</v>
      </c>
      <c r="U90" s="640"/>
      <c r="V90" s="154">
        <v>2.4E-2</v>
      </c>
      <c r="W90" s="342">
        <v>9.171428571428572E-2</v>
      </c>
      <c r="X90" s="149">
        <v>4.1544117647058822E-2</v>
      </c>
      <c r="Y90" s="580">
        <v>15882.42</v>
      </c>
      <c r="Z90" s="254">
        <v>5.5829629629629639E-2</v>
      </c>
      <c r="AA90" s="254">
        <v>6.6000000000000003E-2</v>
      </c>
      <c r="AB90" s="254">
        <v>8.1103174456361546E-2</v>
      </c>
      <c r="AC90" s="340">
        <v>0.3105</v>
      </c>
      <c r="AD90" s="340">
        <v>3.5665851384186223E-2</v>
      </c>
      <c r="AE90" s="340">
        <v>5.1372095495866743E-2</v>
      </c>
      <c r="AF90" s="341">
        <v>2.5709446743852643E-2</v>
      </c>
      <c r="AG90" s="340">
        <v>-5.1361316473587826E-2</v>
      </c>
      <c r="AH90" s="340">
        <v>-6.1386077150317714E-2</v>
      </c>
      <c r="AI90" s="340">
        <v>0</v>
      </c>
    </row>
    <row r="91" spans="1:35" s="32" customFormat="1" outlineLevel="1">
      <c r="A91" s="398"/>
      <c r="B91" s="264" t="s">
        <v>973</v>
      </c>
      <c r="C91" s="57" t="s">
        <v>974</v>
      </c>
      <c r="D91" s="154">
        <v>1.1200000000000001</v>
      </c>
      <c r="E91" s="154">
        <v>1.38</v>
      </c>
      <c r="F91" s="154">
        <v>1.82</v>
      </c>
      <c r="G91" s="154">
        <v>1.9</v>
      </c>
      <c r="H91" s="154">
        <v>1.0622051613211834</v>
      </c>
      <c r="I91" s="154">
        <v>1</v>
      </c>
      <c r="J91" s="154">
        <v>0.56999999999999995</v>
      </c>
      <c r="K91" s="154">
        <v>0.26</v>
      </c>
      <c r="L91" s="154">
        <v>7.9000000000000001E-2</v>
      </c>
      <c r="M91" s="154">
        <v>7.0000000000000001E-3</v>
      </c>
      <c r="N91" s="154">
        <v>4.2999999999999997E-2</v>
      </c>
      <c r="O91" s="154">
        <v>2.5000000000000001E-2</v>
      </c>
      <c r="P91" s="154">
        <v>4.3999999999999997E-2</v>
      </c>
      <c r="Q91" s="149">
        <v>5.8905466145793943E-2</v>
      </c>
      <c r="R91" s="149">
        <v>0.2993969924639403</v>
      </c>
      <c r="S91" s="70">
        <v>1.1000000000000001</v>
      </c>
      <c r="T91" s="697">
        <v>401305.75870959688</v>
      </c>
      <c r="U91" s="640"/>
      <c r="V91" s="154">
        <v>6.0999999999999999E-2</v>
      </c>
      <c r="W91" s="342">
        <v>6.8149999999999988E-2</v>
      </c>
      <c r="X91" s="149">
        <v>4.4516129032258059E-2</v>
      </c>
      <c r="Y91" s="580">
        <v>15274.5</v>
      </c>
      <c r="Z91" s="254">
        <v>4.2548148148148147E-2</v>
      </c>
      <c r="AA91" s="254">
        <v>5.2500000000000005E-2</v>
      </c>
      <c r="AB91" s="254">
        <v>7.0000000000000007E-2</v>
      </c>
      <c r="AC91" s="340">
        <v>0.30599999999999999</v>
      </c>
      <c r="AD91" s="340">
        <v>-6.3579608021946954E-3</v>
      </c>
      <c r="AE91" s="340">
        <v>7.7464401635347069E-3</v>
      </c>
      <c r="AF91" s="341">
        <v>6.9793575289370718E-2</v>
      </c>
      <c r="AG91" s="340">
        <v>0.12174805386090776</v>
      </c>
      <c r="AH91" s="340">
        <v>-0.19293010851161832</v>
      </c>
      <c r="AI91" s="340">
        <v>0</v>
      </c>
    </row>
    <row r="92" spans="1:35" s="32" customFormat="1" outlineLevel="1">
      <c r="A92" s="398"/>
      <c r="B92" s="264" t="s">
        <v>975</v>
      </c>
      <c r="C92" s="57" t="s">
        <v>976</v>
      </c>
      <c r="D92" s="154">
        <v>1.0463223175656908</v>
      </c>
      <c r="E92" s="154">
        <v>1.2822291038473201</v>
      </c>
      <c r="F92" s="154">
        <v>1.6283142720040176</v>
      </c>
      <c r="G92" s="154">
        <v>1.7173563238320766</v>
      </c>
      <c r="H92" s="154">
        <v>0.98149817033794939</v>
      </c>
      <c r="I92" s="154">
        <v>1</v>
      </c>
      <c r="J92" s="154">
        <v>0.33157885489044597</v>
      </c>
      <c r="K92" s="154">
        <v>7.6009394529229057E-2</v>
      </c>
      <c r="L92" s="154">
        <v>1.8572351736484628E-2</v>
      </c>
      <c r="M92" s="154">
        <v>5.1755812523305734E-3</v>
      </c>
      <c r="N92" s="154">
        <v>2.3931450392707724E-2</v>
      </c>
      <c r="O92" s="154">
        <v>5.9565063752774726E-3</v>
      </c>
      <c r="P92" s="154">
        <v>1.6424807648380654E-2</v>
      </c>
      <c r="Q92" s="149">
        <v>3.4971291399380912E-2</v>
      </c>
      <c r="R92" s="149">
        <v>0.15865025505401537</v>
      </c>
      <c r="S92" s="71">
        <f>S93</f>
        <v>1.05</v>
      </c>
      <c r="T92" s="697">
        <v>254714.72436863757</v>
      </c>
      <c r="U92" s="640"/>
      <c r="V92" s="154">
        <v>6.7000000000000004E-2</v>
      </c>
      <c r="W92" s="342">
        <v>7.5200000000000003E-2</v>
      </c>
      <c r="X92" s="149">
        <v>3.9583333333333338E-2</v>
      </c>
      <c r="Y92" s="580">
        <v>7912.14</v>
      </c>
      <c r="Z92" s="254">
        <v>2.8533333333333331E-2</v>
      </c>
      <c r="AA92" s="254">
        <v>4.1000000000000002E-2</v>
      </c>
      <c r="AB92" s="254">
        <v>2.0840254855300527E-2</v>
      </c>
      <c r="AC92" s="340">
        <v>0.30149999999999999</v>
      </c>
      <c r="AD92" s="340">
        <v>2.2182309343359075E-2</v>
      </c>
      <c r="AE92" s="340">
        <v>1.3172214755411055E-2</v>
      </c>
      <c r="AF92" s="341">
        <v>-7.2652486769621827E-3</v>
      </c>
      <c r="AG92" s="340">
        <v>-6.6869636183598757E-2</v>
      </c>
      <c r="AH92" s="340">
        <v>3.8780360761790755E-2</v>
      </c>
      <c r="AI92" s="340">
        <v>0</v>
      </c>
    </row>
    <row r="93" spans="1:35" s="32" customFormat="1" ht="13.5" outlineLevel="1" thickBot="1">
      <c r="A93" s="398"/>
      <c r="B93" s="264" t="s">
        <v>977</v>
      </c>
      <c r="C93" s="57" t="s">
        <v>978</v>
      </c>
      <c r="D93" s="154">
        <v>1.0463223175656908</v>
      </c>
      <c r="E93" s="154">
        <v>1.2822291038473201</v>
      </c>
      <c r="F93" s="154">
        <v>1.6283142720040176</v>
      </c>
      <c r="G93" s="154">
        <v>1.7173563238320766</v>
      </c>
      <c r="H93" s="154">
        <v>0.98149817033794939</v>
      </c>
      <c r="I93" s="154">
        <v>1</v>
      </c>
      <c r="J93" s="154">
        <v>0.33157885489044597</v>
      </c>
      <c r="K93" s="154">
        <v>7.6009394529229057E-2</v>
      </c>
      <c r="L93" s="154">
        <v>1.8572351736484628E-2</v>
      </c>
      <c r="M93" s="154">
        <v>5.1755812523305734E-3</v>
      </c>
      <c r="N93" s="154">
        <v>2.3931450392707724E-2</v>
      </c>
      <c r="O93" s="154">
        <v>5.9565063752774726E-3</v>
      </c>
      <c r="P93" s="154">
        <v>1.6424807648380654E-2</v>
      </c>
      <c r="Q93" s="149">
        <v>6.9949693402343638E-2</v>
      </c>
      <c r="R93" s="149">
        <v>0.22617645371304182</v>
      </c>
      <c r="S93" s="70">
        <v>1.05</v>
      </c>
      <c r="T93" s="697">
        <v>598832.88156484382</v>
      </c>
      <c r="U93" s="640"/>
      <c r="V93" s="154">
        <v>6.7000000000000004E-2</v>
      </c>
      <c r="W93" s="342">
        <v>7.2520000000000001E-2</v>
      </c>
      <c r="X93" s="149">
        <v>3.8142857142857145E-2</v>
      </c>
      <c r="Y93" s="580">
        <v>7912.14</v>
      </c>
      <c r="Z93" s="254">
        <v>2.8533333333333331E-2</v>
      </c>
      <c r="AA93" s="254">
        <v>4.1000000000000002E-2</v>
      </c>
      <c r="AB93" s="254">
        <v>1.9038593346244612E-2</v>
      </c>
      <c r="AC93" s="340">
        <v>0.30149999999999999</v>
      </c>
      <c r="AD93" s="340">
        <v>2.2182309374429568E-2</v>
      </c>
      <c r="AE93" s="340">
        <v>1.3172214695451018E-2</v>
      </c>
      <c r="AF93" s="341">
        <v>-7.2652486634154079E-3</v>
      </c>
      <c r="AG93" s="340">
        <v>-6.686963610681812E-2</v>
      </c>
      <c r="AH93" s="340">
        <v>3.8780360700352956E-2</v>
      </c>
      <c r="AI93" s="340">
        <v>0</v>
      </c>
    </row>
    <row r="94" spans="1:35" s="54" customFormat="1" ht="14.25" outlineLevel="1" thickTop="1" thickBot="1">
      <c r="A94" s="398"/>
      <c r="B94" s="179" t="str">
        <f>INDEX(B64:B93,$C$94)</f>
        <v>Average or Combination</v>
      </c>
      <c r="C94" s="283">
        <f>MATCH(Industry,IndustryList)</f>
        <v>1</v>
      </c>
      <c r="D94" s="179">
        <f>INDEX(D64:D93,$C$94)</f>
        <v>1</v>
      </c>
      <c r="E94" s="179">
        <f t="shared" ref="E94:T94" si="0">INDEX(E64:E93,$C$94)</f>
        <v>1.2727075804285928</v>
      </c>
      <c r="F94" s="179">
        <f t="shared" si="0"/>
        <v>1.6182164341473591</v>
      </c>
      <c r="G94" s="179">
        <f t="shared" si="0"/>
        <v>1.7828374253207442</v>
      </c>
      <c r="H94" s="179">
        <f t="shared" si="0"/>
        <v>1</v>
      </c>
      <c r="I94" s="179">
        <f t="shared" si="0"/>
        <v>1</v>
      </c>
      <c r="J94" s="235">
        <f t="shared" si="0"/>
        <v>0.55043858033445614</v>
      </c>
      <c r="K94" s="235">
        <f t="shared" si="0"/>
        <v>0.24471287108114761</v>
      </c>
      <c r="L94" s="235">
        <f t="shared" si="0"/>
        <v>7.6050115447678326E-2</v>
      </c>
      <c r="M94" s="235">
        <f t="shared" si="0"/>
        <v>7.3766904562545758E-3</v>
      </c>
      <c r="N94" s="235">
        <f t="shared" si="0"/>
        <v>4.3193805909595255E-2</v>
      </c>
      <c r="O94" s="235">
        <f t="shared" si="0"/>
        <v>2.4813631793631392E-2</v>
      </c>
      <c r="P94" s="235">
        <f t="shared" si="0"/>
        <v>4.3650708360575302E-2</v>
      </c>
      <c r="Q94" s="235">
        <f t="shared" si="0"/>
        <v>5.4995552963538114E-2</v>
      </c>
      <c r="R94" s="235">
        <f t="shared" si="0"/>
        <v>0.1703028465807406</v>
      </c>
      <c r="S94" s="72">
        <f t="shared" si="0"/>
        <v>1.19</v>
      </c>
      <c r="T94" s="607">
        <f t="shared" si="0"/>
        <v>446700.71346166095</v>
      </c>
      <c r="U94" s="398"/>
      <c r="V94" s="235">
        <f t="shared" ref="V94:AI94" si="1">INDEX(V64:V93,$C$94)</f>
        <v>4.5079746733149038E-2</v>
      </c>
      <c r="W94" s="235">
        <f t="shared" si="1"/>
        <v>8.2000000000000003E-2</v>
      </c>
      <c r="X94" s="235">
        <f t="shared" si="1"/>
        <v>5.8000000000000003E-2</v>
      </c>
      <c r="Y94" s="607">
        <f t="shared" si="1"/>
        <v>12845.37</v>
      </c>
      <c r="Z94" s="235">
        <f t="shared" si="1"/>
        <v>3.4490260631001378E-2</v>
      </c>
      <c r="AA94" s="235">
        <f t="shared" si="1"/>
        <v>4.9999999999999996E-2</v>
      </c>
      <c r="AB94" s="235">
        <f t="shared" si="1"/>
        <v>4.504394845590115E-2</v>
      </c>
      <c r="AC94" s="235">
        <f t="shared" si="1"/>
        <v>0.32900000000000001</v>
      </c>
      <c r="AD94" s="235">
        <f t="shared" si="1"/>
        <v>0</v>
      </c>
      <c r="AE94" s="235">
        <f t="shared" si="1"/>
        <v>0</v>
      </c>
      <c r="AF94" s="235">
        <f t="shared" si="1"/>
        <v>0</v>
      </c>
      <c r="AG94" s="235">
        <f t="shared" si="1"/>
        <v>0</v>
      </c>
      <c r="AH94" s="235">
        <f t="shared" si="1"/>
        <v>0</v>
      </c>
      <c r="AI94" s="235">
        <f t="shared" si="1"/>
        <v>0</v>
      </c>
    </row>
    <row r="95" spans="1:35" s="59" customFormat="1" ht="13.5" outlineLevel="1" thickTop="1">
      <c r="A95" s="398"/>
      <c r="B95" s="36" t="s">
        <v>979</v>
      </c>
      <c r="C95" s="398"/>
      <c r="D95" s="346"/>
      <c r="E95" s="346"/>
      <c r="F95" s="346"/>
      <c r="G95" s="347"/>
      <c r="H95" s="253"/>
      <c r="I95" s="346"/>
      <c r="J95" s="60">
        <v>1</v>
      </c>
      <c r="K95" s="60">
        <f>K94/PCUserMix</f>
        <v>0.44457797804153876</v>
      </c>
      <c r="L95" s="60">
        <f>L94/PCUserMix</f>
        <v>0.13816276359383992</v>
      </c>
      <c r="M95" s="60">
        <f>M94/PCUserMix</f>
        <v>1.340147787564667E-2</v>
      </c>
      <c r="N95" s="60">
        <f>N94/PCUserMix</f>
        <v>7.8471617820375053E-2</v>
      </c>
      <c r="O95" s="398"/>
      <c r="P95" s="60">
        <f>P94/PCUserMix</f>
        <v>7.9301687636161633E-2</v>
      </c>
      <c r="Q95" s="33"/>
      <c r="R95" s="34"/>
      <c r="S95" s="398"/>
      <c r="T95" s="608">
        <f>T94*ExchangeRate</f>
        <v>446700.71346166095</v>
      </c>
      <c r="U95" s="398"/>
      <c r="V95" s="149">
        <f>V94*0.7</f>
        <v>3.1555822713204326E-2</v>
      </c>
      <c r="W95" s="398"/>
      <c r="X95" s="398"/>
      <c r="Y95" s="609">
        <f>Y94*ExchangeRate</f>
        <v>12845.37</v>
      </c>
      <c r="Z95" s="398"/>
      <c r="AA95" s="398"/>
      <c r="AB95" s="398"/>
      <c r="AC95" s="270" t="s">
        <v>816</v>
      </c>
      <c r="AD95" s="348">
        <v>0.13</v>
      </c>
      <c r="AE95" s="348">
        <v>0.16</v>
      </c>
      <c r="AF95" s="348">
        <v>0.31</v>
      </c>
      <c r="AG95" s="348">
        <v>0.21</v>
      </c>
      <c r="AH95" s="348">
        <v>0.19</v>
      </c>
      <c r="AI95" s="349">
        <f>SUM(AD95:AH95)</f>
        <v>1</v>
      </c>
    </row>
    <row r="96" spans="1:35" customFormat="1" ht="13.5" outlineLevel="1" thickBot="1">
      <c r="A96" s="398"/>
      <c r="B96" s="398"/>
      <c r="C96" s="398"/>
      <c r="D96" s="314" t="s">
        <v>980</v>
      </c>
      <c r="E96" s="315"/>
      <c r="F96" s="315"/>
      <c r="G96" s="315"/>
      <c r="H96" s="315"/>
      <c r="I96" s="315"/>
      <c r="J96" s="315"/>
      <c r="K96" s="315"/>
      <c r="L96" s="315"/>
      <c r="M96" s="315"/>
      <c r="N96" s="315"/>
      <c r="O96" s="315"/>
      <c r="P96" s="398"/>
      <c r="Q96" s="398"/>
      <c r="R96" s="398"/>
      <c r="S96" s="398"/>
      <c r="T96" s="350" t="s">
        <v>981</v>
      </c>
      <c r="U96" s="398"/>
      <c r="V96" s="398"/>
      <c r="W96" s="398"/>
      <c r="X96" s="398"/>
      <c r="Y96" s="350" t="s">
        <v>981</v>
      </c>
      <c r="Z96" s="398"/>
      <c r="AA96" s="398"/>
      <c r="AB96" s="398"/>
      <c r="AC96" s="270" t="s">
        <v>982</v>
      </c>
      <c r="AD96" s="349">
        <f t="shared" ref="AD96:AI96" si="2">H115</f>
        <v>0</v>
      </c>
      <c r="AE96" s="349">
        <f t="shared" si="2"/>
        <v>0</v>
      </c>
      <c r="AF96" s="349">
        <f t="shared" si="2"/>
        <v>0</v>
      </c>
      <c r="AG96" s="349">
        <f t="shared" si="2"/>
        <v>0</v>
      </c>
      <c r="AH96" s="349">
        <f t="shared" si="2"/>
        <v>0</v>
      </c>
      <c r="AI96" s="349">
        <f t="shared" si="2"/>
        <v>0</v>
      </c>
    </row>
    <row r="97" spans="1:35" s="75" customFormat="1" ht="14.25" outlineLevel="1" thickTop="1" thickBot="1">
      <c r="A97" s="398"/>
      <c r="B97" s="398"/>
      <c r="C97" s="398"/>
      <c r="D97" s="315"/>
      <c r="E97" s="315"/>
      <c r="F97" s="315"/>
      <c r="G97" s="315"/>
      <c r="H97" s="315"/>
      <c r="I97" s="315"/>
      <c r="J97" s="315"/>
      <c r="K97" s="315"/>
      <c r="L97" s="315"/>
      <c r="M97" s="315"/>
      <c r="N97" s="315"/>
      <c r="O97" s="315"/>
      <c r="P97" s="398"/>
      <c r="Q97" s="398"/>
      <c r="R97" s="398"/>
      <c r="S97" s="398"/>
      <c r="T97" s="398"/>
      <c r="U97" s="398"/>
      <c r="V97" s="398"/>
      <c r="W97" s="398"/>
      <c r="X97" s="398"/>
      <c r="Y97" s="398"/>
      <c r="Z97" s="398"/>
      <c r="AA97" s="398"/>
      <c r="AB97" s="398"/>
      <c r="AC97" s="270" t="s">
        <v>872</v>
      </c>
      <c r="AD97" s="235">
        <f t="shared" ref="AD97:AI97" si="3">AD96+AD94+AD95</f>
        <v>0.13</v>
      </c>
      <c r="AE97" s="235">
        <f t="shared" si="3"/>
        <v>0.16</v>
      </c>
      <c r="AF97" s="235">
        <f t="shared" si="3"/>
        <v>0.31</v>
      </c>
      <c r="AG97" s="235">
        <f t="shared" si="3"/>
        <v>0.21</v>
      </c>
      <c r="AH97" s="235">
        <f t="shared" si="3"/>
        <v>0.19</v>
      </c>
      <c r="AI97" s="235">
        <f t="shared" si="3"/>
        <v>1</v>
      </c>
    </row>
    <row r="98" spans="1:35" s="75" customFormat="1" ht="13.5" outlineLevel="1" thickTop="1">
      <c r="A98" s="398"/>
      <c r="B98" s="398"/>
      <c r="C98" s="398"/>
      <c r="D98" s="315"/>
      <c r="E98" s="315"/>
      <c r="F98" s="315"/>
      <c r="G98" s="315"/>
      <c r="H98" s="315"/>
      <c r="I98" s="315"/>
      <c r="J98" s="315"/>
      <c r="K98" s="315"/>
      <c r="L98" s="315"/>
      <c r="M98" s="315"/>
      <c r="N98" s="315"/>
      <c r="O98" s="315"/>
      <c r="P98" s="398"/>
      <c r="Q98" s="398"/>
      <c r="R98" s="398"/>
      <c r="S98" s="398"/>
      <c r="T98" s="398"/>
      <c r="U98" s="398"/>
      <c r="V98" s="398"/>
      <c r="W98" s="398"/>
      <c r="X98" s="398"/>
      <c r="Y98" s="398"/>
      <c r="Z98" s="398"/>
      <c r="AA98" s="398"/>
      <c r="AB98" s="398"/>
      <c r="AC98" s="270" t="s">
        <v>983</v>
      </c>
      <c r="AD98" s="235">
        <f>AD97/(SUM($AD$97,$AE$97,$AG$97,$AH$97))</f>
        <v>0.18840579710144931</v>
      </c>
      <c r="AE98" s="235">
        <f>AE97/(SUM($AD$97,$AE$97,$AG$97,$AH$97))</f>
        <v>0.23188405797101452</v>
      </c>
      <c r="AF98" s="398"/>
      <c r="AG98" s="235">
        <f>AG97/(SUM($AD$97,$AE$97,$AG$97,$AH$97))</f>
        <v>0.30434782608695654</v>
      </c>
      <c r="AH98" s="235">
        <f>AH97/(SUM($AD$97,$AE$97,$AG$97,$AH$97))</f>
        <v>0.27536231884057971</v>
      </c>
      <c r="AI98" s="235">
        <f>SUM(AD98:AH98)</f>
        <v>1</v>
      </c>
    </row>
    <row r="99" spans="1:35" s="75" customFormat="1" outlineLevel="1">
      <c r="A99" s="398"/>
      <c r="B99" s="398"/>
      <c r="C99" s="398"/>
      <c r="D99" s="315"/>
      <c r="E99" s="315"/>
      <c r="F99" s="315"/>
      <c r="G99" s="315"/>
      <c r="H99" s="315"/>
      <c r="I99" s="315"/>
      <c r="J99" s="315"/>
      <c r="K99" s="315"/>
      <c r="L99" s="315"/>
      <c r="M99" s="315"/>
      <c r="N99" s="315"/>
      <c r="O99" s="315"/>
      <c r="P99" s="398"/>
      <c r="Q99" s="398"/>
      <c r="R99" s="398"/>
      <c r="S99" s="398"/>
      <c r="T99" s="398"/>
      <c r="U99" s="398"/>
      <c r="V99" s="398"/>
      <c r="W99" s="398"/>
      <c r="X99" s="398"/>
      <c r="Y99" s="398"/>
      <c r="Z99" s="398"/>
      <c r="AA99" s="398"/>
      <c r="AB99" s="398"/>
      <c r="AC99" s="270"/>
      <c r="AD99" s="270"/>
      <c r="AE99" s="270"/>
      <c r="AF99" s="270"/>
      <c r="AG99" s="270"/>
      <c r="AH99" s="270"/>
      <c r="AI99" s="270"/>
    </row>
    <row r="100" spans="1:35" s="75" customFormat="1" outlineLevel="1">
      <c r="A100" s="398"/>
      <c r="B100" s="398"/>
      <c r="C100" s="398"/>
      <c r="D100" s="315"/>
      <c r="E100" s="315"/>
      <c r="F100" s="315"/>
      <c r="G100" s="315"/>
      <c r="H100" s="315"/>
      <c r="I100" s="315"/>
      <c r="J100" s="315"/>
      <c r="K100" s="315"/>
      <c r="L100" s="315"/>
      <c r="M100" s="315"/>
      <c r="N100" s="315"/>
      <c r="O100" s="315"/>
      <c r="P100" s="398"/>
      <c r="Q100" s="398"/>
      <c r="R100" s="398"/>
      <c r="S100" s="398"/>
      <c r="T100" s="398"/>
      <c r="U100" s="398"/>
      <c r="V100" s="398"/>
      <c r="W100" s="398"/>
      <c r="X100" s="398"/>
      <c r="Y100" s="398"/>
      <c r="Z100" s="398"/>
      <c r="AA100" s="398"/>
      <c r="AB100" s="398"/>
      <c r="AC100" s="270"/>
      <c r="AD100" s="270"/>
      <c r="AE100" s="270"/>
      <c r="AF100" s="270"/>
      <c r="AG100" s="270"/>
      <c r="AH100" s="270"/>
      <c r="AI100" s="270"/>
    </row>
    <row r="101" spans="1:35" s="75" customFormat="1" outlineLevel="1">
      <c r="A101" s="398"/>
      <c r="B101" s="398"/>
      <c r="C101" s="398"/>
      <c r="D101" s="315"/>
      <c r="E101" s="315"/>
      <c r="F101" s="315"/>
      <c r="G101" s="315"/>
      <c r="H101" s="315"/>
      <c r="I101" s="315"/>
      <c r="J101" s="315"/>
      <c r="K101" s="315"/>
      <c r="L101" s="315"/>
      <c r="M101" s="315"/>
      <c r="N101" s="315"/>
      <c r="O101" s="315"/>
      <c r="P101" s="398"/>
      <c r="Q101" s="398"/>
      <c r="R101" s="398"/>
      <c r="S101" s="398"/>
      <c r="T101" s="398"/>
      <c r="U101" s="398"/>
      <c r="V101" s="398"/>
      <c r="W101" s="398"/>
      <c r="X101" s="398"/>
      <c r="Y101" s="398"/>
      <c r="Z101" s="398"/>
      <c r="AA101" s="398"/>
      <c r="AB101" s="398"/>
      <c r="AC101" s="270"/>
      <c r="AD101" s="270"/>
      <c r="AE101" s="270"/>
      <c r="AF101" s="270"/>
      <c r="AG101" s="270"/>
      <c r="AH101" s="270"/>
      <c r="AI101" s="270"/>
    </row>
    <row r="102" spans="1:35" ht="22.5">
      <c r="A102" s="3" t="s">
        <v>984</v>
      </c>
      <c r="B102" s="398"/>
      <c r="C102" s="398"/>
      <c r="D102" s="398"/>
      <c r="E102" s="398"/>
      <c r="F102" s="398"/>
      <c r="G102" s="398"/>
      <c r="H102" s="398"/>
      <c r="I102" s="398"/>
      <c r="J102" s="398"/>
      <c r="K102" s="398"/>
      <c r="L102" s="398"/>
      <c r="M102" s="398"/>
      <c r="N102" s="398"/>
      <c r="O102" s="398"/>
      <c r="P102" s="398"/>
      <c r="Q102" s="398"/>
      <c r="R102" s="398"/>
      <c r="S102" s="398"/>
      <c r="T102" s="398"/>
      <c r="U102" s="398"/>
      <c r="V102" s="398"/>
      <c r="W102" s="398"/>
      <c r="X102" s="398"/>
      <c r="Y102" s="398"/>
      <c r="Z102" s="398"/>
      <c r="AA102" s="398"/>
      <c r="AB102" s="398"/>
      <c r="AC102" s="398"/>
      <c r="AD102" s="398"/>
      <c r="AE102" s="398"/>
      <c r="AF102" s="398"/>
      <c r="AG102" s="398"/>
      <c r="AH102" s="398"/>
      <c r="AI102" s="398"/>
    </row>
    <row r="103" spans="1:35" s="75" customFormat="1" ht="15" outlineLevel="1">
      <c r="A103" s="6" t="s">
        <v>985</v>
      </c>
      <c r="B103" s="398"/>
      <c r="C103" s="671" t="s">
        <v>876</v>
      </c>
      <c r="D103" s="671" t="s">
        <v>878</v>
      </c>
      <c r="E103" s="671" t="s">
        <v>878</v>
      </c>
      <c r="F103" s="671" t="s">
        <v>878</v>
      </c>
      <c r="G103" s="671" t="s">
        <v>878</v>
      </c>
      <c r="H103" s="671" t="s">
        <v>878</v>
      </c>
      <c r="I103" s="671" t="s">
        <v>878</v>
      </c>
      <c r="J103" s="671" t="s">
        <v>878</v>
      </c>
      <c r="K103" s="671" t="s">
        <v>878</v>
      </c>
      <c r="L103" s="671" t="s">
        <v>878</v>
      </c>
      <c r="M103" s="671" t="s">
        <v>878</v>
      </c>
      <c r="N103" s="398"/>
      <c r="O103" s="398"/>
      <c r="P103" s="398"/>
      <c r="Q103" s="398"/>
      <c r="R103" s="398"/>
      <c r="S103" s="398"/>
      <c r="T103" s="398"/>
      <c r="U103" s="398"/>
      <c r="V103" s="398"/>
      <c r="W103" s="398"/>
      <c r="X103" s="398"/>
      <c r="Y103" s="398"/>
      <c r="Z103" s="398"/>
      <c r="AA103" s="398"/>
      <c r="AB103" s="398"/>
      <c r="AC103" s="398"/>
      <c r="AD103" s="398"/>
      <c r="AE103" s="398"/>
      <c r="AF103" s="398"/>
      <c r="AG103" s="398"/>
      <c r="AH103" s="398"/>
      <c r="AI103" s="398"/>
    </row>
    <row r="104" spans="1:35" s="75" customFormat="1" ht="118.5" outlineLevel="1">
      <c r="A104" s="6"/>
      <c r="B104" s="398"/>
      <c r="C104" s="379" t="s">
        <v>346</v>
      </c>
      <c r="D104" s="379" t="s">
        <v>986</v>
      </c>
      <c r="E104" s="379" t="s">
        <v>987</v>
      </c>
      <c r="F104" s="379" t="s">
        <v>886</v>
      </c>
      <c r="G104" s="379" t="s">
        <v>887</v>
      </c>
      <c r="H104" s="671" t="s">
        <v>369</v>
      </c>
      <c r="I104" s="671" t="s">
        <v>261</v>
      </c>
      <c r="J104" s="671" t="s">
        <v>988</v>
      </c>
      <c r="K104" s="671" t="s">
        <v>437</v>
      </c>
      <c r="L104" s="671" t="s">
        <v>989</v>
      </c>
      <c r="M104" s="671" t="s">
        <v>259</v>
      </c>
      <c r="N104" s="398"/>
      <c r="O104" s="398"/>
      <c r="P104" s="398"/>
      <c r="Q104" s="398"/>
      <c r="R104" s="398"/>
      <c r="S104" s="398"/>
      <c r="T104" s="398"/>
      <c r="U104" s="398"/>
      <c r="V104" s="398"/>
      <c r="W104" s="398"/>
      <c r="X104" s="398"/>
      <c r="Y104" s="398"/>
      <c r="Z104" s="398"/>
      <c r="AA104" s="398"/>
      <c r="AB104" s="398"/>
      <c r="AC104" s="398"/>
      <c r="AD104" s="398"/>
      <c r="AE104" s="398"/>
      <c r="AF104" s="398"/>
      <c r="AG104" s="398"/>
      <c r="AH104" s="398"/>
      <c r="AI104" s="398"/>
    </row>
    <row r="105" spans="1:35" s="75" customFormat="1" outlineLevel="1">
      <c r="A105" s="398"/>
      <c r="B105" s="107" t="s">
        <v>990</v>
      </c>
      <c r="C105" s="141">
        <v>1</v>
      </c>
      <c r="D105" s="157">
        <v>0</v>
      </c>
      <c r="E105" s="157">
        <v>0</v>
      </c>
      <c r="F105" s="157">
        <v>0</v>
      </c>
      <c r="G105" s="157">
        <v>0</v>
      </c>
      <c r="H105" s="351">
        <v>1.1769884983015825E-2</v>
      </c>
      <c r="I105" s="351">
        <v>-1.2950015264960585E-2</v>
      </c>
      <c r="J105" s="351">
        <v>-6.4575731076184969E-3</v>
      </c>
      <c r="K105" s="351">
        <v>-1.4958853118576287E-2</v>
      </c>
      <c r="L105" s="351">
        <v>2.259655650813952E-2</v>
      </c>
      <c r="M105" s="351">
        <v>0</v>
      </c>
      <c r="N105" s="398"/>
      <c r="O105" s="398"/>
      <c r="P105" s="398"/>
      <c r="Q105" s="398"/>
      <c r="R105" s="398"/>
      <c r="S105" s="398"/>
      <c r="T105" s="398"/>
      <c r="U105" s="398"/>
      <c r="V105" s="398"/>
      <c r="W105" s="398"/>
      <c r="X105" s="398"/>
      <c r="Y105" s="398"/>
      <c r="Z105" s="398"/>
      <c r="AA105" s="398"/>
      <c r="AB105" s="398"/>
      <c r="AC105" s="398"/>
      <c r="AD105" s="398"/>
      <c r="AE105" s="398"/>
      <c r="AF105" s="398"/>
      <c r="AG105" s="398"/>
      <c r="AH105" s="398"/>
      <c r="AI105" s="398"/>
    </row>
    <row r="106" spans="1:35" s="75" customFormat="1" outlineLevel="1">
      <c r="A106" s="398"/>
      <c r="B106" s="352" t="s">
        <v>991</v>
      </c>
      <c r="C106" s="154">
        <v>0.57999999999999996</v>
      </c>
      <c r="D106" s="149">
        <v>-7.0000000000000027E-3</v>
      </c>
      <c r="E106" s="149">
        <v>-2.9999999999999957E-3</v>
      </c>
      <c r="F106" s="149">
        <v>-0.06</v>
      </c>
      <c r="G106" s="149">
        <v>0</v>
      </c>
      <c r="H106" s="351">
        <v>6.4903972461992532E-2</v>
      </c>
      <c r="I106" s="351">
        <v>-3.3364614440712155E-2</v>
      </c>
      <c r="J106" s="351">
        <v>-1.8724122477223392E-2</v>
      </c>
      <c r="K106" s="351">
        <v>-7.122301294126146E-2</v>
      </c>
      <c r="L106" s="351">
        <v>5.8407777397204486E-2</v>
      </c>
      <c r="M106" s="351">
        <v>0</v>
      </c>
      <c r="N106" s="398"/>
      <c r="O106" s="398"/>
      <c r="P106" s="398"/>
      <c r="Q106" s="398"/>
      <c r="R106" s="398"/>
      <c r="S106" s="398"/>
      <c r="T106" s="398"/>
      <c r="U106" s="398"/>
      <c r="V106" s="398"/>
      <c r="W106" s="398"/>
      <c r="X106" s="398"/>
      <c r="Y106" s="398"/>
      <c r="Z106" s="398"/>
      <c r="AA106" s="398"/>
      <c r="AB106" s="398"/>
      <c r="AC106" s="398"/>
      <c r="AD106" s="398"/>
      <c r="AE106" s="398"/>
      <c r="AF106" s="398"/>
      <c r="AG106" s="398"/>
      <c r="AH106" s="398"/>
      <c r="AI106" s="398"/>
    </row>
    <row r="107" spans="1:35" s="75" customFormat="1" outlineLevel="1">
      <c r="A107" s="398"/>
      <c r="B107" s="181" t="s">
        <v>992</v>
      </c>
      <c r="C107" s="154">
        <v>0.97121736395092795</v>
      </c>
      <c r="D107" s="149">
        <v>-1.0000000000000009E-3</v>
      </c>
      <c r="E107" s="149">
        <v>0</v>
      </c>
      <c r="F107" s="149">
        <v>-2.9999999999999971E-2</v>
      </c>
      <c r="G107" s="149">
        <v>-2.0000000000000087E-3</v>
      </c>
      <c r="H107" s="351">
        <v>-3.2718479696572295E-3</v>
      </c>
      <c r="I107" s="351">
        <v>-2.8394859815937343E-2</v>
      </c>
      <c r="J107" s="351">
        <v>-2.6777627768591206E-2</v>
      </c>
      <c r="K107" s="351">
        <v>4.6498692359782635E-2</v>
      </c>
      <c r="L107" s="351">
        <v>1.1945643194403154E-2</v>
      </c>
      <c r="M107" s="351">
        <v>0</v>
      </c>
      <c r="N107" s="398"/>
      <c r="O107" s="398"/>
      <c r="P107" s="398"/>
      <c r="Q107" s="398"/>
      <c r="R107" s="398"/>
      <c r="S107" s="398"/>
      <c r="T107" s="398"/>
      <c r="U107" s="398"/>
      <c r="V107" s="398"/>
      <c r="W107" s="398"/>
      <c r="X107" s="398"/>
      <c r="Y107" s="398"/>
      <c r="Z107" s="398"/>
      <c r="AA107" s="398"/>
      <c r="AB107" s="398"/>
      <c r="AC107" s="398"/>
      <c r="AD107" s="398"/>
      <c r="AE107" s="398"/>
      <c r="AF107" s="398"/>
      <c r="AG107" s="398"/>
      <c r="AH107" s="398"/>
      <c r="AI107" s="398"/>
    </row>
    <row r="108" spans="1:35" s="75" customFormat="1" outlineLevel="1">
      <c r="A108" s="398"/>
      <c r="B108" s="353" t="s">
        <v>993</v>
      </c>
      <c r="C108" s="154">
        <v>0.7</v>
      </c>
      <c r="D108" s="149">
        <v>-1.0000000000000009E-3</v>
      </c>
      <c r="E108" s="149">
        <v>0</v>
      </c>
      <c r="F108" s="149">
        <v>-2.9999999999999971E-2</v>
      </c>
      <c r="G108" s="149">
        <v>-2.0000000000000087E-3</v>
      </c>
      <c r="H108" s="351">
        <v>7.3376664448551981E-2</v>
      </c>
      <c r="I108" s="351">
        <v>-1.5463313637825051E-2</v>
      </c>
      <c r="J108" s="351">
        <v>-2.1813622589181226E-2</v>
      </c>
      <c r="K108" s="351">
        <v>-0.11283243791839939</v>
      </c>
      <c r="L108" s="351">
        <v>7.673270969685371E-2</v>
      </c>
      <c r="M108" s="351">
        <v>0</v>
      </c>
      <c r="N108" s="398"/>
      <c r="O108" s="398"/>
      <c r="P108" s="398"/>
      <c r="Q108" s="398"/>
      <c r="R108" s="398"/>
      <c r="S108" s="398"/>
      <c r="T108" s="398"/>
      <c r="U108" s="398"/>
      <c r="V108" s="398"/>
      <c r="W108" s="398"/>
      <c r="X108" s="398"/>
      <c r="Y108" s="398"/>
      <c r="Z108" s="398"/>
      <c r="AA108" s="398"/>
      <c r="AB108" s="398"/>
      <c r="AC108" s="398"/>
      <c r="AD108" s="398"/>
      <c r="AE108" s="398"/>
      <c r="AF108" s="398"/>
      <c r="AG108" s="398"/>
      <c r="AH108" s="398"/>
      <c r="AI108" s="398"/>
    </row>
    <row r="109" spans="1:35" s="75" customFormat="1" outlineLevel="1">
      <c r="A109" s="398"/>
      <c r="B109" s="353" t="s">
        <v>994</v>
      </c>
      <c r="C109" s="154">
        <v>0.56999999999999995</v>
      </c>
      <c r="D109" s="149">
        <v>-2.0000000000000018E-3</v>
      </c>
      <c r="E109" s="149">
        <v>0</v>
      </c>
      <c r="F109" s="149">
        <v>-0.10999999999999999</v>
      </c>
      <c r="G109" s="149">
        <v>-6.0000000000000053E-3</v>
      </c>
      <c r="H109" s="351">
        <v>2.450405122089256E-2</v>
      </c>
      <c r="I109" s="351">
        <v>-3.7748757572046043E-2</v>
      </c>
      <c r="J109" s="351">
        <v>-8.6267341393517494E-3</v>
      </c>
      <c r="K109" s="351">
        <v>-8.1070704223709364E-2</v>
      </c>
      <c r="L109" s="351">
        <v>0.10294214471421465</v>
      </c>
      <c r="M109" s="351">
        <v>0</v>
      </c>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row>
    <row r="110" spans="1:35" s="75" customFormat="1" outlineLevel="1">
      <c r="A110" s="398"/>
      <c r="B110" s="181" t="s">
        <v>995</v>
      </c>
      <c r="C110" s="154">
        <v>0.62802768166089962</v>
      </c>
      <c r="D110" s="149">
        <v>-2.0000000000000018E-3</v>
      </c>
      <c r="E110" s="149">
        <v>0</v>
      </c>
      <c r="F110" s="149">
        <v>-0.10999999999999999</v>
      </c>
      <c r="G110" s="149">
        <v>-6.0000000000000053E-3</v>
      </c>
      <c r="H110" s="351">
        <v>2.9510152461945424E-2</v>
      </c>
      <c r="I110" s="351">
        <v>-4.4503448457965208E-2</v>
      </c>
      <c r="J110" s="351">
        <v>-3.0306282454448177E-2</v>
      </c>
      <c r="K110" s="351">
        <v>-0.11780307647037083</v>
      </c>
      <c r="L110" s="351">
        <v>0.16310265492083889</v>
      </c>
      <c r="M110" s="351">
        <v>0</v>
      </c>
      <c r="N110" s="398"/>
      <c r="O110" s="398"/>
      <c r="P110" s="398"/>
      <c r="Q110" s="398"/>
      <c r="R110" s="398"/>
      <c r="S110" s="398"/>
      <c r="T110" s="398"/>
      <c r="U110" s="398"/>
      <c r="V110" s="398"/>
      <c r="W110" s="398"/>
      <c r="X110" s="398"/>
      <c r="Y110" s="398"/>
      <c r="Z110" s="398"/>
      <c r="AA110" s="398"/>
      <c r="AB110" s="398"/>
      <c r="AC110" s="398"/>
      <c r="AD110" s="398"/>
      <c r="AE110" s="398"/>
      <c r="AF110" s="398"/>
      <c r="AG110" s="398"/>
      <c r="AH110" s="398"/>
      <c r="AI110" s="398"/>
    </row>
    <row r="111" spans="1:35" s="75" customFormat="1" outlineLevel="1">
      <c r="A111" s="398"/>
      <c r="B111" s="181" t="s">
        <v>996</v>
      </c>
      <c r="C111" s="154">
        <v>1</v>
      </c>
      <c r="D111" s="149">
        <v>2.0000000000000018E-3</v>
      </c>
      <c r="E111" s="149">
        <v>1.0000000000000078E-3</v>
      </c>
      <c r="F111" s="149">
        <v>5.0000000000000044E-2</v>
      </c>
      <c r="G111" s="149">
        <v>2.9999999999999957E-3</v>
      </c>
      <c r="H111" s="354">
        <v>0</v>
      </c>
      <c r="I111" s="354">
        <v>0</v>
      </c>
      <c r="J111" s="354">
        <v>0</v>
      </c>
      <c r="K111" s="354">
        <v>0</v>
      </c>
      <c r="L111" s="354">
        <v>0</v>
      </c>
      <c r="M111" s="354">
        <v>0</v>
      </c>
      <c r="N111" s="398"/>
      <c r="O111" s="398"/>
      <c r="P111" s="398"/>
      <c r="Q111" s="398"/>
      <c r="R111" s="398"/>
      <c r="S111" s="398"/>
      <c r="T111" s="398"/>
      <c r="U111" s="398"/>
      <c r="V111" s="398"/>
      <c r="W111" s="398"/>
      <c r="X111" s="398"/>
      <c r="Y111" s="398"/>
      <c r="Z111" s="398"/>
      <c r="AA111" s="398"/>
      <c r="AB111" s="398"/>
      <c r="AC111" s="398"/>
      <c r="AD111" s="398"/>
      <c r="AE111" s="398"/>
      <c r="AF111" s="398"/>
      <c r="AG111" s="398"/>
      <c r="AH111" s="398"/>
      <c r="AI111" s="398"/>
    </row>
    <row r="112" spans="1:35" s="75" customFormat="1" outlineLevel="1">
      <c r="A112" s="398"/>
      <c r="B112" s="181" t="s">
        <v>997</v>
      </c>
      <c r="C112" s="154">
        <v>1.0609468386284995</v>
      </c>
      <c r="D112" s="149">
        <v>2.0000000000000018E-3</v>
      </c>
      <c r="E112" s="149">
        <v>1.0000000000000078E-3</v>
      </c>
      <c r="F112" s="149">
        <v>5.0000000000000044E-2</v>
      </c>
      <c r="G112" s="149">
        <v>2.9999999999999957E-3</v>
      </c>
      <c r="H112" s="354">
        <v>0</v>
      </c>
      <c r="I112" s="354">
        <v>0</v>
      </c>
      <c r="J112" s="354">
        <v>0</v>
      </c>
      <c r="K112" s="354">
        <v>0</v>
      </c>
      <c r="L112" s="354">
        <v>0</v>
      </c>
      <c r="M112" s="354">
        <v>0</v>
      </c>
      <c r="N112" s="398"/>
      <c r="O112" s="398"/>
      <c r="P112" s="398"/>
      <c r="Q112" s="398"/>
      <c r="R112" s="398"/>
      <c r="S112" s="398"/>
      <c r="T112" s="398"/>
      <c r="U112" s="398"/>
      <c r="V112" s="398"/>
      <c r="W112" s="398"/>
      <c r="X112" s="398"/>
      <c r="Y112" s="398"/>
      <c r="Z112" s="398"/>
      <c r="AA112" s="398"/>
      <c r="AB112" s="398"/>
      <c r="AC112" s="398"/>
      <c r="AD112" s="398"/>
      <c r="AE112" s="398"/>
      <c r="AF112" s="398"/>
      <c r="AG112" s="398"/>
      <c r="AH112" s="398"/>
      <c r="AI112" s="398"/>
    </row>
    <row r="113" spans="1:35" s="75" customFormat="1" outlineLevel="1">
      <c r="A113" s="398"/>
      <c r="B113" s="181" t="s">
        <v>998</v>
      </c>
      <c r="C113" s="154">
        <v>0.98</v>
      </c>
      <c r="D113" s="149">
        <v>-1.0000000000000009E-3</v>
      </c>
      <c r="E113" s="149">
        <v>0</v>
      </c>
      <c r="F113" s="149">
        <v>-2.9999999999999971E-2</v>
      </c>
      <c r="G113" s="149">
        <v>-2.0000000000000087E-3</v>
      </c>
      <c r="H113" s="351">
        <v>-3.1188828032586544E-3</v>
      </c>
      <c r="I113" s="351">
        <v>-5.2078543749598189E-3</v>
      </c>
      <c r="J113" s="351">
        <v>3.8409873745481491E-3</v>
      </c>
      <c r="K113" s="351">
        <v>5.0337493906453699E-3</v>
      </c>
      <c r="L113" s="351">
        <v>-5.4799958697506195E-4</v>
      </c>
      <c r="M113" s="351">
        <v>0</v>
      </c>
      <c r="N113" s="398"/>
      <c r="O113" s="398"/>
      <c r="P113" s="398"/>
      <c r="Q113" s="398"/>
      <c r="R113" s="398"/>
      <c r="S113" s="398"/>
      <c r="T113" s="398"/>
      <c r="U113" s="398"/>
      <c r="V113" s="398"/>
      <c r="W113" s="398"/>
      <c r="X113" s="398"/>
      <c r="Y113" s="398"/>
      <c r="Z113" s="398"/>
      <c r="AA113" s="398"/>
      <c r="AB113" s="398"/>
      <c r="AC113" s="398"/>
      <c r="AD113" s="398"/>
      <c r="AE113" s="398"/>
      <c r="AF113" s="398"/>
      <c r="AG113" s="398"/>
      <c r="AH113" s="398"/>
      <c r="AI113" s="398"/>
    </row>
    <row r="114" spans="1:35" s="75" customFormat="1" ht="13.5" outlineLevel="1" thickBot="1">
      <c r="A114" s="398"/>
      <c r="B114" s="181" t="s">
        <v>999</v>
      </c>
      <c r="C114" s="154">
        <v>1.0609468386284995</v>
      </c>
      <c r="D114" s="149">
        <v>2.0000000000000018E-3</v>
      </c>
      <c r="E114" s="149">
        <v>1.0000000000000078E-3</v>
      </c>
      <c r="F114" s="149">
        <v>5.0000000000000044E-2</v>
      </c>
      <c r="G114" s="149">
        <v>2.9999999999999957E-3</v>
      </c>
      <c r="H114" s="351">
        <v>-3.1188828032586544E-3</v>
      </c>
      <c r="I114" s="351">
        <v>-5.2078543749598189E-3</v>
      </c>
      <c r="J114" s="351">
        <v>3.8409873745481491E-3</v>
      </c>
      <c r="K114" s="351">
        <v>5.0337493906453699E-3</v>
      </c>
      <c r="L114" s="351">
        <v>-5.4799958697506195E-4</v>
      </c>
      <c r="M114" s="351">
        <v>0</v>
      </c>
      <c r="N114" s="398"/>
      <c r="O114" s="398"/>
      <c r="P114" s="398"/>
      <c r="Q114" s="398"/>
      <c r="R114" s="398"/>
      <c r="S114" s="398"/>
      <c r="T114" s="398"/>
      <c r="U114" s="398"/>
      <c r="V114" s="398"/>
      <c r="W114" s="398"/>
      <c r="X114" s="398"/>
      <c r="Y114" s="398"/>
      <c r="Z114" s="398"/>
      <c r="AA114" s="398"/>
      <c r="AB114" s="398"/>
      <c r="AC114" s="398"/>
      <c r="AD114" s="398"/>
      <c r="AE114" s="398"/>
      <c r="AF114" s="398"/>
      <c r="AG114" s="398"/>
      <c r="AH114" s="398"/>
      <c r="AI114" s="398"/>
    </row>
    <row r="115" spans="1:35" s="75" customFormat="1" ht="14.25" outlineLevel="1" thickTop="1" thickBot="1">
      <c r="A115" s="398"/>
      <c r="B115" s="179" t="str">
        <f>D170</f>
        <v>US</v>
      </c>
      <c r="C115" s="69">
        <f t="shared" ref="C115:M115" si="4">INDEX(C105:C114,$C$116)</f>
        <v>1.0609468386284995</v>
      </c>
      <c r="D115" s="94">
        <f t="shared" si="4"/>
        <v>2.0000000000000018E-3</v>
      </c>
      <c r="E115" s="94">
        <f t="shared" si="4"/>
        <v>1.0000000000000078E-3</v>
      </c>
      <c r="F115" s="94">
        <f t="shared" si="4"/>
        <v>5.0000000000000044E-2</v>
      </c>
      <c r="G115" s="94">
        <f t="shared" si="4"/>
        <v>2.9999999999999957E-3</v>
      </c>
      <c r="H115" s="95">
        <f t="shared" si="4"/>
        <v>0</v>
      </c>
      <c r="I115" s="95">
        <f t="shared" si="4"/>
        <v>0</v>
      </c>
      <c r="J115" s="95">
        <f t="shared" si="4"/>
        <v>0</v>
      </c>
      <c r="K115" s="95">
        <f t="shared" si="4"/>
        <v>0</v>
      </c>
      <c r="L115" s="95">
        <f t="shared" si="4"/>
        <v>0</v>
      </c>
      <c r="M115" s="95">
        <f t="shared" si="4"/>
        <v>0</v>
      </c>
      <c r="N115" s="398"/>
      <c r="O115" s="398"/>
      <c r="P115" s="398"/>
      <c r="Q115" s="398"/>
      <c r="R115" s="398"/>
      <c r="S115" s="398"/>
      <c r="T115" s="398"/>
      <c r="U115" s="398"/>
      <c r="V115" s="398"/>
      <c r="W115" s="398"/>
      <c r="X115" s="398"/>
      <c r="Y115" s="398"/>
      <c r="Z115" s="398"/>
      <c r="AA115" s="398"/>
      <c r="AB115" s="398"/>
      <c r="AC115" s="398"/>
      <c r="AD115" s="398"/>
      <c r="AE115" s="398"/>
      <c r="AF115" s="398"/>
      <c r="AG115" s="398"/>
      <c r="AH115" s="398"/>
      <c r="AI115" s="398"/>
    </row>
    <row r="116" spans="1:35" s="54" customFormat="1" ht="13.5" outlineLevel="1" thickTop="1">
      <c r="A116" s="398"/>
      <c r="B116" s="283" t="s">
        <v>1000</v>
      </c>
      <c r="C116" s="283">
        <f>MATCH(B115,$B$105:$B$114,0)</f>
        <v>8</v>
      </c>
      <c r="D116" s="398"/>
      <c r="E116" s="398"/>
      <c r="F116" s="398"/>
      <c r="G116" s="398"/>
      <c r="H116" s="398"/>
      <c r="I116" s="398"/>
      <c r="J116" s="398"/>
      <c r="K116" s="398"/>
      <c r="L116" s="398"/>
      <c r="M116" s="398"/>
      <c r="N116" s="398"/>
      <c r="O116" s="398"/>
      <c r="P116" s="398"/>
      <c r="Q116" s="398"/>
      <c r="R116" s="398"/>
      <c r="S116" s="398"/>
      <c r="T116" s="398"/>
      <c r="U116" s="398"/>
      <c r="V116" s="398"/>
      <c r="W116" s="398"/>
      <c r="X116" s="398"/>
      <c r="Y116" s="398"/>
      <c r="Z116" s="398"/>
      <c r="AA116" s="398"/>
      <c r="AB116" s="398"/>
      <c r="AC116" s="398"/>
      <c r="AD116" s="398"/>
      <c r="AE116" s="398"/>
      <c r="AF116" s="398"/>
      <c r="AG116" s="398"/>
      <c r="AH116" s="398"/>
      <c r="AI116" s="398"/>
    </row>
    <row r="117" spans="1:35" s="54" customFormat="1" ht="12.75" customHeight="1" outlineLevel="1">
      <c r="A117" s="6" t="s">
        <v>1001</v>
      </c>
      <c r="B117" s="398"/>
      <c r="C117" s="398"/>
      <c r="D117" s="398"/>
      <c r="E117" s="398"/>
      <c r="F117" s="398"/>
      <c r="G117" s="810" t="s">
        <v>892</v>
      </c>
      <c r="H117" s="811"/>
      <c r="I117" s="811"/>
      <c r="J117" s="811"/>
      <c r="K117" s="273"/>
      <c r="L117" s="273"/>
      <c r="M117" s="398"/>
      <c r="N117" s="398"/>
      <c r="O117" s="398"/>
      <c r="P117" s="398"/>
      <c r="Q117" s="398"/>
      <c r="R117" s="398"/>
      <c r="S117" s="398"/>
      <c r="T117" s="398"/>
      <c r="U117" s="398"/>
      <c r="V117" s="398"/>
      <c r="W117" s="398"/>
      <c r="X117" s="398"/>
      <c r="Y117" s="398"/>
      <c r="Z117" s="398"/>
      <c r="AA117" s="398"/>
      <c r="AB117" s="398"/>
      <c r="AC117" s="398"/>
      <c r="AD117" s="398"/>
      <c r="AE117" s="398"/>
      <c r="AF117" s="398"/>
      <c r="AG117" s="398"/>
      <c r="AH117" s="398"/>
      <c r="AI117" s="398"/>
    </row>
    <row r="118" spans="1:35" s="54" customFormat="1" ht="51" outlineLevel="1">
      <c r="A118" s="398"/>
      <c r="B118" s="671" t="s">
        <v>1002</v>
      </c>
      <c r="C118" s="671" t="s">
        <v>897</v>
      </c>
      <c r="D118" s="671" t="s">
        <v>985</v>
      </c>
      <c r="E118" s="671" t="s">
        <v>1003</v>
      </c>
      <c r="F118" s="671" t="s">
        <v>1004</v>
      </c>
      <c r="G118" s="380" t="s">
        <v>1005</v>
      </c>
      <c r="H118" s="380" t="s">
        <v>1006</v>
      </c>
      <c r="I118" s="380" t="s">
        <v>1007</v>
      </c>
      <c r="J118" s="380" t="s">
        <v>1008</v>
      </c>
      <c r="K118" s="380" t="s">
        <v>1009</v>
      </c>
      <c r="L118" s="380" t="s">
        <v>1010</v>
      </c>
      <c r="M118" s="380" t="s">
        <v>144</v>
      </c>
      <c r="N118" s="398"/>
      <c r="O118" s="398"/>
      <c r="P118" s="398"/>
      <c r="Q118" s="398"/>
      <c r="R118" s="398"/>
      <c r="S118" s="398"/>
      <c r="T118" s="398"/>
      <c r="U118" s="398"/>
      <c r="V118" s="398"/>
      <c r="W118" s="398"/>
      <c r="X118" s="398"/>
      <c r="Y118" s="398"/>
      <c r="Z118" s="398"/>
      <c r="AA118" s="398"/>
      <c r="AB118" s="398"/>
      <c r="AC118" s="398"/>
      <c r="AD118" s="398"/>
      <c r="AE118" s="398"/>
      <c r="AF118" s="398"/>
      <c r="AG118" s="398"/>
      <c r="AH118" s="398"/>
      <c r="AI118" s="398"/>
    </row>
    <row r="119" spans="1:35" s="54" customFormat="1" outlineLevel="1">
      <c r="A119" s="398"/>
      <c r="B119" s="323" t="s">
        <v>1011</v>
      </c>
      <c r="C119" s="324"/>
      <c r="D119" s="324" t="s">
        <v>990</v>
      </c>
      <c r="E119" s="141">
        <v>0.2360608695652176</v>
      </c>
      <c r="F119" s="340">
        <v>1.0657038969953729</v>
      </c>
      <c r="G119" s="133">
        <v>0.54554077532582623</v>
      </c>
      <c r="H119" s="141">
        <f t="shared" ref="H119:J138" si="5">$G119+(H$172-$G119)*H$171</f>
        <v>0.59098669779324364</v>
      </c>
      <c r="I119" s="141">
        <f t="shared" si="5"/>
        <v>0.63643262026066094</v>
      </c>
      <c r="J119" s="141">
        <f t="shared" si="5"/>
        <v>0.6591555814943697</v>
      </c>
      <c r="K119" s="325">
        <v>1643.1032225929016</v>
      </c>
      <c r="L119" s="133">
        <v>1</v>
      </c>
      <c r="M119" s="133">
        <v>0.32</v>
      </c>
      <c r="N119" s="398"/>
      <c r="O119" s="398"/>
      <c r="P119" s="398"/>
      <c r="Q119" s="398"/>
      <c r="R119" s="398"/>
      <c r="S119" s="398"/>
      <c r="T119" s="398"/>
      <c r="U119" s="398"/>
      <c r="V119" s="398"/>
      <c r="W119" s="398"/>
      <c r="X119" s="398"/>
      <c r="Y119" s="398"/>
      <c r="Z119" s="398"/>
      <c r="AA119" s="398"/>
      <c r="AB119" s="398"/>
      <c r="AC119" s="398"/>
      <c r="AD119" s="398"/>
      <c r="AE119" s="398"/>
      <c r="AF119" s="398"/>
      <c r="AG119" s="398"/>
      <c r="AH119" s="398"/>
      <c r="AI119" s="398"/>
    </row>
    <row r="120" spans="1:35" s="54" customFormat="1" outlineLevel="1">
      <c r="A120" s="398"/>
      <c r="B120" s="355" t="s">
        <v>1012</v>
      </c>
      <c r="C120" s="352" t="s">
        <v>991</v>
      </c>
      <c r="D120" s="352" t="str">
        <f>C120</f>
        <v>APac</v>
      </c>
      <c r="E120" s="356">
        <v>0.25666666666666665</v>
      </c>
      <c r="F120" s="357">
        <v>0.60062394197629154</v>
      </c>
      <c r="G120" s="358">
        <v>0.3450636394711199</v>
      </c>
      <c r="H120" s="154">
        <f t="shared" si="5"/>
        <v>0.41055727552400789</v>
      </c>
      <c r="I120" s="154">
        <f t="shared" si="5"/>
        <v>0.47605091157689594</v>
      </c>
      <c r="J120" s="154">
        <f t="shared" si="5"/>
        <v>0.50879772960333991</v>
      </c>
      <c r="K120" s="68">
        <v>1737.1180150125103</v>
      </c>
      <c r="L120" s="358">
        <f>L119</f>
        <v>1</v>
      </c>
      <c r="M120" s="358">
        <f>M119</f>
        <v>0.32</v>
      </c>
      <c r="N120" s="398"/>
      <c r="O120" s="398"/>
      <c r="P120" s="398"/>
      <c r="Q120" s="398"/>
      <c r="R120" s="398"/>
      <c r="S120" s="398"/>
      <c r="T120" s="398"/>
      <c r="U120" s="398"/>
      <c r="V120" s="398"/>
      <c r="W120" s="398"/>
      <c r="X120" s="398"/>
      <c r="Y120" s="398"/>
      <c r="Z120" s="398"/>
      <c r="AA120" s="398"/>
      <c r="AB120" s="398"/>
      <c r="AC120" s="398"/>
      <c r="AD120" s="398"/>
      <c r="AE120" s="398"/>
      <c r="AF120" s="398"/>
      <c r="AG120" s="398"/>
      <c r="AH120" s="398"/>
      <c r="AI120" s="398"/>
    </row>
    <row r="121" spans="1:35" s="54" customFormat="1" outlineLevel="1">
      <c r="A121" s="398"/>
      <c r="B121" s="359" t="s">
        <v>1013</v>
      </c>
      <c r="C121" s="107" t="s">
        <v>1014</v>
      </c>
      <c r="D121" s="181" t="str">
        <f>D120</f>
        <v>APac</v>
      </c>
      <c r="E121" s="154">
        <v>0.3</v>
      </c>
      <c r="F121" s="340">
        <v>1.3345136648273992</v>
      </c>
      <c r="G121" s="171">
        <v>0.87684908646237947</v>
      </c>
      <c r="H121" s="154">
        <f t="shared" si="5"/>
        <v>0.88916417781614154</v>
      </c>
      <c r="I121" s="154">
        <f t="shared" si="5"/>
        <v>0.90147926916990362</v>
      </c>
      <c r="J121" s="154">
        <f t="shared" si="5"/>
        <v>0.9076368148467846</v>
      </c>
      <c r="K121" s="61">
        <v>1816</v>
      </c>
      <c r="L121" s="171">
        <f t="shared" ref="L121:L169" si="6">L120</f>
        <v>1</v>
      </c>
      <c r="M121" s="171">
        <f t="shared" ref="M121:M169" si="7">M120</f>
        <v>0.32</v>
      </c>
      <c r="N121" s="398"/>
      <c r="O121" s="398"/>
      <c r="P121" s="398"/>
      <c r="Q121" s="398"/>
      <c r="R121" s="398"/>
      <c r="S121" s="398"/>
      <c r="T121" s="398"/>
      <c r="U121" s="398"/>
      <c r="V121" s="398"/>
      <c r="W121" s="398"/>
      <c r="X121" s="398"/>
      <c r="Y121" s="398"/>
      <c r="Z121" s="398"/>
      <c r="AA121" s="398"/>
      <c r="AB121" s="398"/>
      <c r="AC121" s="398"/>
      <c r="AD121" s="398"/>
      <c r="AE121" s="398"/>
      <c r="AF121" s="398"/>
      <c r="AG121" s="398"/>
      <c r="AH121" s="398"/>
      <c r="AI121" s="398"/>
    </row>
    <row r="122" spans="1:35" s="54" customFormat="1" outlineLevel="1">
      <c r="A122" s="398"/>
      <c r="B122" s="359" t="s">
        <v>1015</v>
      </c>
      <c r="C122" s="107" t="s">
        <v>1016</v>
      </c>
      <c r="D122" s="181" t="str">
        <f t="shared" ref="D122:D137" si="8">D121</f>
        <v>APac</v>
      </c>
      <c r="E122" s="154">
        <v>0.27500000000000002</v>
      </c>
      <c r="F122" s="340">
        <v>0.60062394197629154</v>
      </c>
      <c r="G122" s="171">
        <v>0.13614262560777957</v>
      </c>
      <c r="H122" s="154">
        <f t="shared" si="5"/>
        <v>0.22252836304700163</v>
      </c>
      <c r="I122" s="154">
        <f t="shared" si="5"/>
        <v>0.3089141004862237</v>
      </c>
      <c r="J122" s="154">
        <f t="shared" si="5"/>
        <v>0.35210696920583467</v>
      </c>
      <c r="K122" s="61">
        <v>1700</v>
      </c>
      <c r="L122" s="171">
        <f t="shared" si="6"/>
        <v>1</v>
      </c>
      <c r="M122" s="171">
        <f t="shared" si="7"/>
        <v>0.32</v>
      </c>
      <c r="N122" s="398"/>
      <c r="O122" s="398"/>
      <c r="P122" s="398"/>
      <c r="Q122" s="398"/>
      <c r="R122" s="398"/>
      <c r="S122" s="398"/>
      <c r="T122" s="398"/>
      <c r="U122" s="398"/>
      <c r="V122" s="398"/>
      <c r="W122" s="398"/>
      <c r="X122" s="398"/>
      <c r="Y122" s="398"/>
      <c r="Z122" s="398"/>
      <c r="AA122" s="398"/>
      <c r="AB122" s="398"/>
      <c r="AC122" s="398"/>
      <c r="AD122" s="398"/>
      <c r="AE122" s="398"/>
      <c r="AF122" s="398"/>
      <c r="AG122" s="398"/>
      <c r="AH122" s="398"/>
      <c r="AI122" s="398"/>
    </row>
    <row r="123" spans="1:35" s="54" customFormat="1" outlineLevel="1">
      <c r="A123" s="398"/>
      <c r="B123" s="359" t="s">
        <v>1017</v>
      </c>
      <c r="C123" s="107" t="s">
        <v>1018</v>
      </c>
      <c r="D123" s="181" t="str">
        <f t="shared" si="8"/>
        <v>APac</v>
      </c>
      <c r="E123" s="154">
        <v>0.25</v>
      </c>
      <c r="F123" s="340">
        <v>0.25457795134955169</v>
      </c>
      <c r="G123" s="171">
        <v>0.13614262560777957</v>
      </c>
      <c r="H123" s="154">
        <f t="shared" si="5"/>
        <v>0.22252836304700163</v>
      </c>
      <c r="I123" s="154">
        <f t="shared" si="5"/>
        <v>0.3089141004862237</v>
      </c>
      <c r="J123" s="154">
        <f t="shared" si="5"/>
        <v>0.35210696920583467</v>
      </c>
      <c r="K123" s="61">
        <v>1750.001042535446</v>
      </c>
      <c r="L123" s="171">
        <f t="shared" si="6"/>
        <v>1</v>
      </c>
      <c r="M123" s="171">
        <f t="shared" si="7"/>
        <v>0.32</v>
      </c>
      <c r="N123" s="398"/>
      <c r="O123" s="398"/>
      <c r="P123" s="398"/>
      <c r="Q123" s="398"/>
      <c r="R123" s="398"/>
      <c r="S123" s="398"/>
      <c r="T123" s="398"/>
      <c r="U123" s="398"/>
      <c r="V123" s="398"/>
      <c r="W123" s="398"/>
      <c r="X123" s="398"/>
      <c r="Y123" s="398"/>
      <c r="Z123" s="398"/>
      <c r="AA123" s="398"/>
      <c r="AB123" s="398"/>
      <c r="AC123" s="398"/>
      <c r="AD123" s="398"/>
      <c r="AE123" s="398"/>
      <c r="AF123" s="398"/>
      <c r="AG123" s="398"/>
      <c r="AH123" s="398"/>
      <c r="AI123" s="398"/>
    </row>
    <row r="124" spans="1:35" s="54" customFormat="1" outlineLevel="1">
      <c r="A124" s="398"/>
      <c r="B124" s="359" t="s">
        <v>1019</v>
      </c>
      <c r="C124" s="107" t="s">
        <v>1020</v>
      </c>
      <c r="D124" s="181" t="str">
        <f t="shared" si="8"/>
        <v>APac</v>
      </c>
      <c r="E124" s="154">
        <v>0.16500000000000001</v>
      </c>
      <c r="F124" s="340">
        <v>0.60062394197629154</v>
      </c>
      <c r="G124" s="171">
        <v>0.23780750971083295</v>
      </c>
      <c r="H124" s="154">
        <f t="shared" si="5"/>
        <v>0.31402675873974967</v>
      </c>
      <c r="I124" s="154">
        <f t="shared" si="5"/>
        <v>0.39024600776866636</v>
      </c>
      <c r="J124" s="154">
        <f t="shared" si="5"/>
        <v>0.42835563228312468</v>
      </c>
      <c r="K124" s="61">
        <v>1750.001042535446</v>
      </c>
      <c r="L124" s="171">
        <f t="shared" si="6"/>
        <v>1</v>
      </c>
      <c r="M124" s="171">
        <f t="shared" si="7"/>
        <v>0.32</v>
      </c>
      <c r="N124" s="398"/>
      <c r="O124" s="398"/>
      <c r="P124" s="398"/>
      <c r="Q124" s="398"/>
      <c r="R124" s="398"/>
      <c r="S124" s="398"/>
      <c r="T124" s="398"/>
      <c r="U124" s="398"/>
      <c r="V124" s="398"/>
      <c r="W124" s="398"/>
      <c r="X124" s="398"/>
      <c r="Y124" s="398"/>
      <c r="Z124" s="398"/>
      <c r="AA124" s="398"/>
      <c r="AB124" s="398"/>
      <c r="AC124" s="398"/>
      <c r="AD124" s="398"/>
      <c r="AE124" s="398"/>
      <c r="AF124" s="398"/>
      <c r="AG124" s="398"/>
      <c r="AH124" s="398"/>
      <c r="AI124" s="398"/>
    </row>
    <row r="125" spans="1:35" s="54" customFormat="1" outlineLevel="1">
      <c r="A125" s="398"/>
      <c r="B125" s="359" t="s">
        <v>1021</v>
      </c>
      <c r="C125" s="107" t="s">
        <v>1022</v>
      </c>
      <c r="D125" s="181" t="str">
        <f t="shared" si="8"/>
        <v>APac</v>
      </c>
      <c r="E125" s="154">
        <v>0.33989999999999998</v>
      </c>
      <c r="F125" s="340">
        <v>0.93928171002331529</v>
      </c>
      <c r="G125" s="171">
        <v>0.14700162074554296</v>
      </c>
      <c r="H125" s="154">
        <f t="shared" si="5"/>
        <v>0.23230145867098867</v>
      </c>
      <c r="I125" s="154">
        <f t="shared" si="5"/>
        <v>0.31760129659643438</v>
      </c>
      <c r="J125" s="154">
        <f t="shared" si="5"/>
        <v>0.36025121555915723</v>
      </c>
      <c r="K125" s="61">
        <v>1750.001042535446</v>
      </c>
      <c r="L125" s="171">
        <f t="shared" si="6"/>
        <v>1</v>
      </c>
      <c r="M125" s="171">
        <f t="shared" si="7"/>
        <v>0.32</v>
      </c>
      <c r="N125" s="398"/>
      <c r="O125" s="398"/>
      <c r="P125" s="398"/>
      <c r="Q125" s="398"/>
      <c r="R125" s="398"/>
      <c r="S125" s="398"/>
      <c r="T125" s="398"/>
      <c r="U125" s="398"/>
      <c r="V125" s="398"/>
      <c r="W125" s="398"/>
      <c r="X125" s="398"/>
      <c r="Y125" s="398"/>
      <c r="Z125" s="398"/>
      <c r="AA125" s="398"/>
      <c r="AB125" s="398"/>
      <c r="AC125" s="398"/>
      <c r="AD125" s="398"/>
      <c r="AE125" s="398"/>
      <c r="AF125" s="398"/>
      <c r="AG125" s="398"/>
      <c r="AH125" s="398"/>
      <c r="AI125" s="398"/>
    </row>
    <row r="126" spans="1:35" s="54" customFormat="1" outlineLevel="1">
      <c r="A126" s="398"/>
      <c r="B126" s="359" t="s">
        <v>1023</v>
      </c>
      <c r="C126" s="107" t="s">
        <v>1024</v>
      </c>
      <c r="D126" s="181" t="str">
        <f t="shared" si="8"/>
        <v>APac</v>
      </c>
      <c r="E126" s="154">
        <v>0.28000000000000003</v>
      </c>
      <c r="F126" s="340">
        <v>0.60062394197629154</v>
      </c>
      <c r="G126" s="171">
        <v>0.13614262560777957</v>
      </c>
      <c r="H126" s="154">
        <f t="shared" si="5"/>
        <v>0.22252836304700163</v>
      </c>
      <c r="I126" s="154">
        <f t="shared" si="5"/>
        <v>0.3089141004862237</v>
      </c>
      <c r="J126" s="154">
        <f t="shared" si="5"/>
        <v>0.35210696920583467</v>
      </c>
      <c r="K126" s="61">
        <v>1750.001042535446</v>
      </c>
      <c r="L126" s="171">
        <f t="shared" si="6"/>
        <v>1</v>
      </c>
      <c r="M126" s="171">
        <f t="shared" si="7"/>
        <v>0.32</v>
      </c>
      <c r="N126" s="398"/>
      <c r="O126" s="398"/>
      <c r="P126" s="398"/>
      <c r="Q126" s="398"/>
      <c r="R126" s="398"/>
      <c r="S126" s="398"/>
      <c r="T126" s="398"/>
      <c r="U126" s="398"/>
      <c r="V126" s="398"/>
      <c r="W126" s="398"/>
      <c r="X126" s="398"/>
      <c r="Y126" s="398"/>
      <c r="Z126" s="398"/>
      <c r="AA126" s="398"/>
      <c r="AB126" s="398"/>
      <c r="AC126" s="398"/>
      <c r="AD126" s="398"/>
      <c r="AE126" s="398"/>
      <c r="AF126" s="398"/>
      <c r="AG126" s="398"/>
      <c r="AH126" s="398"/>
      <c r="AI126" s="398"/>
    </row>
    <row r="127" spans="1:35" s="54" customFormat="1" outlineLevel="1">
      <c r="A127" s="398"/>
      <c r="B127" s="359" t="s">
        <v>1025</v>
      </c>
      <c r="C127" s="107" t="s">
        <v>992</v>
      </c>
      <c r="D127" s="181" t="str">
        <f>C127</f>
        <v>Japan</v>
      </c>
      <c r="E127" s="154">
        <v>0.40689999999999998</v>
      </c>
      <c r="F127" s="340">
        <v>1</v>
      </c>
      <c r="G127" s="171">
        <v>0.82009387138541201</v>
      </c>
      <c r="H127" s="154">
        <f t="shared" si="5"/>
        <v>0.83808448424687076</v>
      </c>
      <c r="I127" s="154">
        <f t="shared" si="5"/>
        <v>0.85607509710832963</v>
      </c>
      <c r="J127" s="154">
        <f t="shared" si="5"/>
        <v>0.86507040353905906</v>
      </c>
      <c r="K127" s="61">
        <v>1789</v>
      </c>
      <c r="L127" s="171">
        <f t="shared" si="6"/>
        <v>1</v>
      </c>
      <c r="M127" s="171">
        <f t="shared" si="7"/>
        <v>0.32</v>
      </c>
      <c r="N127" s="398"/>
      <c r="O127" s="398"/>
      <c r="P127" s="398"/>
      <c r="Q127" s="398"/>
      <c r="R127" s="398"/>
      <c r="S127" s="398"/>
      <c r="T127" s="398"/>
      <c r="U127" s="398"/>
      <c r="V127" s="398"/>
      <c r="W127" s="398"/>
      <c r="X127" s="398"/>
      <c r="Y127" s="398"/>
      <c r="Z127" s="398"/>
      <c r="AA127" s="398"/>
      <c r="AB127" s="398"/>
      <c r="AC127" s="398"/>
      <c r="AD127" s="398"/>
      <c r="AE127" s="398"/>
      <c r="AF127" s="398"/>
      <c r="AG127" s="398"/>
      <c r="AH127" s="398"/>
      <c r="AI127" s="398"/>
    </row>
    <row r="128" spans="1:35" s="54" customFormat="1" outlineLevel="1">
      <c r="A128" s="398"/>
      <c r="B128" s="359" t="s">
        <v>1026</v>
      </c>
      <c r="C128" s="107" t="s">
        <v>1027</v>
      </c>
      <c r="D128" s="181" t="str">
        <f>D126</f>
        <v>APac</v>
      </c>
      <c r="E128" s="154">
        <v>0.25</v>
      </c>
      <c r="F128" s="340">
        <v>0.60062394197629154</v>
      </c>
      <c r="G128" s="171">
        <v>0.17</v>
      </c>
      <c r="H128" s="154">
        <f t="shared" si="5"/>
        <v>0.253</v>
      </c>
      <c r="I128" s="154">
        <f t="shared" si="5"/>
        <v>0.33600000000000002</v>
      </c>
      <c r="J128" s="154">
        <f t="shared" si="5"/>
        <v>0.3775</v>
      </c>
      <c r="K128" s="61">
        <v>1700</v>
      </c>
      <c r="L128" s="171">
        <f t="shared" si="6"/>
        <v>1</v>
      </c>
      <c r="M128" s="171">
        <f t="shared" si="7"/>
        <v>0.32</v>
      </c>
      <c r="N128" s="398"/>
      <c r="O128" s="398"/>
      <c r="P128" s="398"/>
      <c r="Q128" s="398"/>
      <c r="R128" s="398"/>
      <c r="S128" s="398"/>
      <c r="T128" s="398"/>
      <c r="U128" s="398"/>
      <c r="V128" s="398"/>
      <c r="W128" s="398"/>
      <c r="X128" s="398"/>
      <c r="Y128" s="398"/>
      <c r="Z128" s="398"/>
      <c r="AA128" s="398"/>
      <c r="AB128" s="398"/>
      <c r="AC128" s="398"/>
      <c r="AD128" s="398"/>
      <c r="AE128" s="398"/>
      <c r="AF128" s="398"/>
      <c r="AG128" s="398"/>
      <c r="AH128" s="398"/>
      <c r="AI128" s="398"/>
    </row>
    <row r="129" spans="1:35" s="54" customFormat="1" outlineLevel="1">
      <c r="A129" s="398"/>
      <c r="B129" s="359" t="s">
        <v>1028</v>
      </c>
      <c r="C129" s="107" t="s">
        <v>1029</v>
      </c>
      <c r="D129" s="181" t="str">
        <f t="shared" si="8"/>
        <v>APac</v>
      </c>
      <c r="E129" s="154">
        <v>0.3</v>
      </c>
      <c r="F129" s="340">
        <v>1.3345136648273992</v>
      </c>
      <c r="G129" s="171">
        <v>0.55632283124730253</v>
      </c>
      <c r="H129" s="154">
        <f t="shared" si="5"/>
        <v>0.60069054812257228</v>
      </c>
      <c r="I129" s="154">
        <f t="shared" si="5"/>
        <v>0.64505826499784202</v>
      </c>
      <c r="J129" s="154">
        <f t="shared" si="5"/>
        <v>0.66724212343547684</v>
      </c>
      <c r="K129" s="61">
        <v>1826</v>
      </c>
      <c r="L129" s="171">
        <f t="shared" si="6"/>
        <v>1</v>
      </c>
      <c r="M129" s="171">
        <f t="shared" si="7"/>
        <v>0.32</v>
      </c>
      <c r="N129" s="398"/>
      <c r="O129" s="398"/>
      <c r="P129" s="398"/>
      <c r="Q129" s="398"/>
      <c r="R129" s="398"/>
      <c r="S129" s="398"/>
      <c r="T129" s="398"/>
      <c r="U129" s="398"/>
      <c r="V129" s="398"/>
      <c r="W129" s="398"/>
      <c r="X129" s="398"/>
      <c r="Y129" s="398"/>
      <c r="Z129" s="398"/>
      <c r="AA129" s="398"/>
      <c r="AB129" s="398"/>
      <c r="AC129" s="398"/>
      <c r="AD129" s="398"/>
      <c r="AE129" s="398"/>
      <c r="AF129" s="398"/>
      <c r="AG129" s="398"/>
      <c r="AH129" s="398"/>
      <c r="AI129" s="398"/>
    </row>
    <row r="130" spans="1:35" s="54" customFormat="1" outlineLevel="1">
      <c r="A130" s="398"/>
      <c r="B130" s="359" t="s">
        <v>1030</v>
      </c>
      <c r="C130" s="107" t="s">
        <v>1031</v>
      </c>
      <c r="D130" s="181" t="str">
        <f t="shared" si="8"/>
        <v>APac</v>
      </c>
      <c r="E130" s="154">
        <v>0.35</v>
      </c>
      <c r="F130" s="340">
        <v>0.60062394197629154</v>
      </c>
      <c r="G130" s="171">
        <v>0.2</v>
      </c>
      <c r="H130" s="154">
        <f t="shared" si="5"/>
        <v>0.28000000000000003</v>
      </c>
      <c r="I130" s="154">
        <f t="shared" si="5"/>
        <v>0.36000000000000004</v>
      </c>
      <c r="J130" s="154">
        <f t="shared" si="5"/>
        <v>0.4</v>
      </c>
      <c r="K130" s="61">
        <v>1700</v>
      </c>
      <c r="L130" s="171">
        <f t="shared" si="6"/>
        <v>1</v>
      </c>
      <c r="M130" s="171">
        <f t="shared" si="7"/>
        <v>0.32</v>
      </c>
      <c r="N130" s="398"/>
      <c r="O130" s="398"/>
      <c r="P130" s="398"/>
      <c r="Q130" s="398"/>
      <c r="R130" s="398"/>
      <c r="S130" s="398"/>
      <c r="T130" s="398"/>
      <c r="U130" s="398"/>
      <c r="V130" s="398"/>
      <c r="W130" s="398"/>
      <c r="X130" s="398"/>
      <c r="Y130" s="398"/>
      <c r="Z130" s="398"/>
      <c r="AA130" s="398"/>
      <c r="AB130" s="398"/>
      <c r="AC130" s="398"/>
      <c r="AD130" s="398"/>
      <c r="AE130" s="398"/>
      <c r="AF130" s="398"/>
      <c r="AG130" s="398"/>
      <c r="AH130" s="398"/>
      <c r="AI130" s="398"/>
    </row>
    <row r="131" spans="1:35" s="54" customFormat="1" outlineLevel="1">
      <c r="A131" s="398"/>
      <c r="B131" s="359" t="s">
        <v>1032</v>
      </c>
      <c r="C131" s="107" t="s">
        <v>1033</v>
      </c>
      <c r="D131" s="181" t="str">
        <f t="shared" si="8"/>
        <v>APac</v>
      </c>
      <c r="E131" s="154">
        <v>0.3</v>
      </c>
      <c r="F131" s="340">
        <v>0.60062394197629154</v>
      </c>
      <c r="G131" s="171">
        <v>0.2</v>
      </c>
      <c r="H131" s="154">
        <f t="shared" si="5"/>
        <v>0.28000000000000003</v>
      </c>
      <c r="I131" s="154">
        <f t="shared" si="5"/>
        <v>0.36000000000000004</v>
      </c>
      <c r="J131" s="154">
        <f t="shared" si="5"/>
        <v>0.4</v>
      </c>
      <c r="K131" s="61">
        <v>1700</v>
      </c>
      <c r="L131" s="171">
        <f t="shared" si="6"/>
        <v>1</v>
      </c>
      <c r="M131" s="171">
        <f t="shared" si="7"/>
        <v>0.32</v>
      </c>
      <c r="N131" s="398"/>
      <c r="O131" s="398"/>
      <c r="P131" s="398"/>
      <c r="Q131" s="398"/>
      <c r="R131" s="398"/>
      <c r="S131" s="398"/>
      <c r="T131" s="398"/>
      <c r="U131" s="398"/>
      <c r="V131" s="398"/>
      <c r="W131" s="398"/>
      <c r="X131" s="398"/>
      <c r="Y131" s="398"/>
      <c r="Z131" s="398"/>
      <c r="AA131" s="398"/>
      <c r="AB131" s="398"/>
      <c r="AC131" s="398"/>
      <c r="AD131" s="398"/>
      <c r="AE131" s="398"/>
      <c r="AF131" s="398"/>
      <c r="AG131" s="398"/>
      <c r="AH131" s="398"/>
      <c r="AI131" s="398"/>
    </row>
    <row r="132" spans="1:35" s="54" customFormat="1" outlineLevel="1">
      <c r="A132" s="398"/>
      <c r="B132" s="359" t="s">
        <v>1034</v>
      </c>
      <c r="C132" s="107" t="s">
        <v>1035</v>
      </c>
      <c r="D132" s="181" t="str">
        <f t="shared" si="8"/>
        <v>APac</v>
      </c>
      <c r="E132" s="154">
        <v>0.17</v>
      </c>
      <c r="F132" s="340">
        <v>0.60062394197629154</v>
      </c>
      <c r="G132" s="171">
        <v>0.32153646957272336</v>
      </c>
      <c r="H132" s="154">
        <f t="shared" si="5"/>
        <v>0.38938282261545104</v>
      </c>
      <c r="I132" s="154">
        <f t="shared" si="5"/>
        <v>0.45722917565817867</v>
      </c>
      <c r="J132" s="154">
        <f t="shared" si="5"/>
        <v>0.49115235217954251</v>
      </c>
      <c r="K132" s="61">
        <v>1750.001042535446</v>
      </c>
      <c r="L132" s="171">
        <f t="shared" si="6"/>
        <v>1</v>
      </c>
      <c r="M132" s="171">
        <f t="shared" si="7"/>
        <v>0.32</v>
      </c>
      <c r="N132" s="398"/>
      <c r="O132" s="398"/>
      <c r="P132" s="398"/>
      <c r="Q132" s="398"/>
      <c r="R132" s="398"/>
      <c r="S132" s="398"/>
      <c r="T132" s="398"/>
      <c r="U132" s="398"/>
      <c r="V132" s="398"/>
      <c r="W132" s="398"/>
      <c r="X132" s="398"/>
      <c r="Y132" s="398"/>
      <c r="Z132" s="398"/>
      <c r="AA132" s="398"/>
      <c r="AB132" s="398"/>
      <c r="AC132" s="398"/>
      <c r="AD132" s="398"/>
      <c r="AE132" s="398"/>
      <c r="AF132" s="398"/>
      <c r="AG132" s="398"/>
      <c r="AH132" s="398"/>
      <c r="AI132" s="398"/>
    </row>
    <row r="133" spans="1:35" s="54" customFormat="1" outlineLevel="1">
      <c r="A133" s="398"/>
      <c r="B133" s="359" t="s">
        <v>1036</v>
      </c>
      <c r="C133" s="107" t="s">
        <v>1037</v>
      </c>
      <c r="D133" s="181" t="str">
        <f t="shared" si="8"/>
        <v>APac</v>
      </c>
      <c r="E133" s="154">
        <v>0.24199999999999999</v>
      </c>
      <c r="F133" s="340">
        <v>0.60062394197629154</v>
      </c>
      <c r="G133" s="171">
        <v>0.35</v>
      </c>
      <c r="H133" s="154">
        <f t="shared" si="5"/>
        <v>0.41499999999999998</v>
      </c>
      <c r="I133" s="154">
        <f t="shared" si="5"/>
        <v>0.48</v>
      </c>
      <c r="J133" s="154">
        <f t="shared" si="5"/>
        <v>0.51249999999999996</v>
      </c>
      <c r="K133" s="61">
        <v>1700</v>
      </c>
      <c r="L133" s="171">
        <f t="shared" si="6"/>
        <v>1</v>
      </c>
      <c r="M133" s="171">
        <f t="shared" si="7"/>
        <v>0.32</v>
      </c>
      <c r="N133" s="398"/>
      <c r="O133" s="398"/>
      <c r="P133" s="398"/>
      <c r="Q133" s="398"/>
      <c r="R133" s="398"/>
      <c r="S133" s="398"/>
      <c r="T133" s="398"/>
      <c r="U133" s="398"/>
      <c r="V133" s="398"/>
      <c r="W133" s="398"/>
      <c r="X133" s="398"/>
      <c r="Y133" s="398"/>
      <c r="Z133" s="398"/>
      <c r="AA133" s="398"/>
      <c r="AB133" s="398"/>
      <c r="AC133" s="398"/>
      <c r="AD133" s="398"/>
      <c r="AE133" s="398"/>
      <c r="AF133" s="398"/>
      <c r="AG133" s="398"/>
      <c r="AH133" s="398"/>
      <c r="AI133" s="398"/>
    </row>
    <row r="134" spans="1:35" s="54" customFormat="1" outlineLevel="1">
      <c r="A134" s="398"/>
      <c r="B134" s="359" t="s">
        <v>1038</v>
      </c>
      <c r="C134" s="107" t="s">
        <v>1039</v>
      </c>
      <c r="D134" s="181" t="str">
        <f t="shared" si="8"/>
        <v>APac</v>
      </c>
      <c r="E134" s="154">
        <v>0.35</v>
      </c>
      <c r="F134" s="340">
        <v>0.60062394197629154</v>
      </c>
      <c r="G134" s="171">
        <v>0.18</v>
      </c>
      <c r="H134" s="154">
        <f t="shared" si="5"/>
        <v>0.26200000000000001</v>
      </c>
      <c r="I134" s="154">
        <f t="shared" si="5"/>
        <v>0.34400000000000003</v>
      </c>
      <c r="J134" s="154">
        <f t="shared" si="5"/>
        <v>0.38500000000000001</v>
      </c>
      <c r="K134" s="61">
        <v>1700</v>
      </c>
      <c r="L134" s="171">
        <f t="shared" si="6"/>
        <v>1</v>
      </c>
      <c r="M134" s="171">
        <f t="shared" si="7"/>
        <v>0.32</v>
      </c>
      <c r="N134" s="398"/>
      <c r="O134" s="398"/>
      <c r="P134" s="398"/>
      <c r="Q134" s="398"/>
      <c r="R134" s="398"/>
      <c r="S134" s="398"/>
      <c r="T134" s="398"/>
      <c r="U134" s="398"/>
      <c r="V134" s="398"/>
      <c r="W134" s="398"/>
      <c r="X134" s="398"/>
      <c r="Y134" s="398"/>
      <c r="Z134" s="398"/>
      <c r="AA134" s="398"/>
      <c r="AB134" s="398"/>
      <c r="AC134" s="398"/>
      <c r="AD134" s="398"/>
      <c r="AE134" s="398"/>
      <c r="AF134" s="398"/>
      <c r="AG134" s="398"/>
      <c r="AH134" s="398"/>
      <c r="AI134" s="398"/>
    </row>
    <row r="135" spans="1:35" s="54" customFormat="1" outlineLevel="1">
      <c r="A135" s="398"/>
      <c r="B135" s="359" t="s">
        <v>1040</v>
      </c>
      <c r="C135" s="107" t="s">
        <v>1041</v>
      </c>
      <c r="D135" s="181" t="str">
        <f t="shared" si="8"/>
        <v>APac</v>
      </c>
      <c r="E135" s="154">
        <v>0.17</v>
      </c>
      <c r="F135" s="340">
        <v>0.60062394197629154</v>
      </c>
      <c r="G135" s="171">
        <v>0.25766076823478634</v>
      </c>
      <c r="H135" s="154">
        <f t="shared" si="5"/>
        <v>0.33189469141130773</v>
      </c>
      <c r="I135" s="154">
        <f t="shared" si="5"/>
        <v>0.40612861458782912</v>
      </c>
      <c r="J135" s="154">
        <f t="shared" si="5"/>
        <v>0.44324557617608973</v>
      </c>
      <c r="K135" s="61">
        <v>1750.001042535446</v>
      </c>
      <c r="L135" s="171">
        <f t="shared" si="6"/>
        <v>1</v>
      </c>
      <c r="M135" s="171">
        <f t="shared" si="7"/>
        <v>0.32</v>
      </c>
      <c r="N135" s="398"/>
      <c r="O135" s="398"/>
      <c r="P135" s="398"/>
      <c r="Q135" s="398"/>
      <c r="R135" s="398"/>
      <c r="S135" s="398"/>
      <c r="T135" s="398"/>
      <c r="U135" s="398"/>
      <c r="V135" s="398"/>
      <c r="W135" s="398"/>
      <c r="X135" s="398"/>
      <c r="Y135" s="398"/>
      <c r="Z135" s="398"/>
      <c r="AA135" s="398"/>
      <c r="AB135" s="398"/>
      <c r="AC135" s="398"/>
      <c r="AD135" s="398"/>
      <c r="AE135" s="398"/>
      <c r="AF135" s="398"/>
      <c r="AG135" s="398"/>
      <c r="AH135" s="398"/>
      <c r="AI135" s="398"/>
    </row>
    <row r="136" spans="1:35" s="54" customFormat="1" outlineLevel="1">
      <c r="A136" s="398"/>
      <c r="B136" s="359" t="s">
        <v>1042</v>
      </c>
      <c r="C136" s="107" t="s">
        <v>1043</v>
      </c>
      <c r="D136" s="181" t="str">
        <f t="shared" si="8"/>
        <v>APac</v>
      </c>
      <c r="E136" s="154">
        <v>0.3</v>
      </c>
      <c r="F136" s="340">
        <v>0.60062394197629154</v>
      </c>
      <c r="G136" s="171">
        <v>0.15</v>
      </c>
      <c r="H136" s="154">
        <f t="shared" si="5"/>
        <v>0.23499999999999999</v>
      </c>
      <c r="I136" s="154">
        <f t="shared" si="5"/>
        <v>0.32</v>
      </c>
      <c r="J136" s="154">
        <f t="shared" si="5"/>
        <v>0.36249999999999999</v>
      </c>
      <c r="K136" s="61">
        <v>1700</v>
      </c>
      <c r="L136" s="171">
        <f t="shared" si="6"/>
        <v>1</v>
      </c>
      <c r="M136" s="171">
        <f t="shared" si="7"/>
        <v>0.32</v>
      </c>
      <c r="N136" s="398"/>
      <c r="O136" s="398"/>
      <c r="P136" s="398"/>
      <c r="Q136" s="398"/>
      <c r="R136" s="398"/>
      <c r="S136" s="398"/>
      <c r="T136" s="398"/>
      <c r="U136" s="398"/>
      <c r="V136" s="398"/>
      <c r="W136" s="398"/>
      <c r="X136" s="398"/>
      <c r="Y136" s="398"/>
      <c r="Z136" s="398"/>
      <c r="AA136" s="398"/>
      <c r="AB136" s="398"/>
      <c r="AC136" s="398"/>
      <c r="AD136" s="398"/>
      <c r="AE136" s="398"/>
      <c r="AF136" s="398"/>
      <c r="AG136" s="398"/>
      <c r="AH136" s="398"/>
      <c r="AI136" s="398"/>
    </row>
    <row r="137" spans="1:35" s="54" customFormat="1" outlineLevel="1">
      <c r="A137" s="398"/>
      <c r="B137" s="359" t="s">
        <v>1044</v>
      </c>
      <c r="C137" s="107" t="s">
        <v>1045</v>
      </c>
      <c r="D137" s="181" t="str">
        <f t="shared" si="8"/>
        <v>APac</v>
      </c>
      <c r="E137" s="154">
        <v>0.25</v>
      </c>
      <c r="F137" s="340">
        <v>0.60062394197629154</v>
      </c>
      <c r="G137" s="171">
        <v>0.15</v>
      </c>
      <c r="H137" s="154">
        <f t="shared" si="5"/>
        <v>0.23499999999999999</v>
      </c>
      <c r="I137" s="154">
        <f t="shared" si="5"/>
        <v>0.32</v>
      </c>
      <c r="J137" s="154">
        <f t="shared" si="5"/>
        <v>0.36249999999999999</v>
      </c>
      <c r="K137" s="61">
        <v>1700</v>
      </c>
      <c r="L137" s="171">
        <f t="shared" si="6"/>
        <v>1</v>
      </c>
      <c r="M137" s="171">
        <f t="shared" si="7"/>
        <v>0.32</v>
      </c>
      <c r="N137" s="398"/>
      <c r="O137" s="398"/>
      <c r="P137" s="398"/>
      <c r="Q137" s="398"/>
      <c r="R137" s="398"/>
      <c r="S137" s="398"/>
      <c r="T137" s="398"/>
      <c r="U137" s="398"/>
      <c r="V137" s="398"/>
      <c r="W137" s="398"/>
      <c r="X137" s="398"/>
      <c r="Y137" s="398"/>
      <c r="Z137" s="398"/>
      <c r="AA137" s="398"/>
      <c r="AB137" s="398"/>
      <c r="AC137" s="398"/>
      <c r="AD137" s="398"/>
      <c r="AE137" s="398"/>
      <c r="AF137" s="398"/>
      <c r="AG137" s="398"/>
      <c r="AH137" s="398"/>
      <c r="AI137" s="398"/>
    </row>
    <row r="138" spans="1:35" s="54" customFormat="1" outlineLevel="1">
      <c r="A138" s="398"/>
      <c r="B138" s="355" t="s">
        <v>1046</v>
      </c>
      <c r="C138" s="352" t="s">
        <v>993</v>
      </c>
      <c r="D138" s="353" t="str">
        <f>C138</f>
        <v>E Eur</v>
      </c>
      <c r="E138" s="356">
        <v>0.17545454545454542</v>
      </c>
      <c r="F138" s="357">
        <v>0.6719521762574977</v>
      </c>
      <c r="G138" s="358">
        <v>0.23</v>
      </c>
      <c r="H138" s="154">
        <f t="shared" si="5"/>
        <v>0.30700000000000005</v>
      </c>
      <c r="I138" s="154">
        <f t="shared" si="5"/>
        <v>0.38400000000000001</v>
      </c>
      <c r="J138" s="154">
        <f t="shared" si="5"/>
        <v>0.42249999999999999</v>
      </c>
      <c r="K138" s="61">
        <v>1750</v>
      </c>
      <c r="L138" s="358">
        <f t="shared" si="6"/>
        <v>1</v>
      </c>
      <c r="M138" s="358">
        <f t="shared" si="7"/>
        <v>0.32</v>
      </c>
      <c r="N138" s="398"/>
      <c r="O138" s="398"/>
      <c r="P138" s="398"/>
      <c r="Q138" s="398"/>
      <c r="R138" s="398"/>
      <c r="S138" s="398"/>
      <c r="T138" s="398"/>
      <c r="U138" s="398"/>
      <c r="V138" s="398"/>
      <c r="W138" s="398"/>
      <c r="X138" s="398"/>
      <c r="Y138" s="398"/>
      <c r="Z138" s="398"/>
      <c r="AA138" s="398"/>
      <c r="AB138" s="398"/>
      <c r="AC138" s="398"/>
      <c r="AD138" s="398"/>
      <c r="AE138" s="398"/>
      <c r="AF138" s="398"/>
      <c r="AG138" s="398"/>
      <c r="AH138" s="398"/>
      <c r="AI138" s="398"/>
    </row>
    <row r="139" spans="1:35" s="54" customFormat="1" outlineLevel="1">
      <c r="A139" s="398"/>
      <c r="B139" s="359" t="s">
        <v>1047</v>
      </c>
      <c r="C139" s="107" t="s">
        <v>1048</v>
      </c>
      <c r="D139" s="327" t="str">
        <f>D138</f>
        <v>E Eur</v>
      </c>
      <c r="E139" s="154">
        <v>0.19</v>
      </c>
      <c r="F139" s="340">
        <v>0.6719521762574977</v>
      </c>
      <c r="G139" s="171">
        <v>0.23</v>
      </c>
      <c r="H139" s="154">
        <f t="shared" ref="H139:J158" si="9">$G139+(H$172-$G139)*H$171</f>
        <v>0.30700000000000005</v>
      </c>
      <c r="I139" s="154">
        <f t="shared" si="9"/>
        <v>0.38400000000000001</v>
      </c>
      <c r="J139" s="154">
        <f t="shared" si="9"/>
        <v>0.42249999999999999</v>
      </c>
      <c r="K139" s="61">
        <v>1750</v>
      </c>
      <c r="L139" s="171">
        <f t="shared" si="6"/>
        <v>1</v>
      </c>
      <c r="M139" s="171">
        <f t="shared" si="7"/>
        <v>0.32</v>
      </c>
      <c r="N139" s="398"/>
      <c r="O139" s="398"/>
      <c r="P139" s="398"/>
      <c r="Q139" s="398"/>
      <c r="R139" s="398"/>
      <c r="S139" s="398"/>
      <c r="T139" s="398"/>
      <c r="U139" s="398"/>
      <c r="V139" s="398"/>
      <c r="W139" s="398"/>
      <c r="X139" s="398"/>
      <c r="Y139" s="398"/>
      <c r="Z139" s="398"/>
      <c r="AA139" s="398"/>
      <c r="AB139" s="398"/>
      <c r="AC139" s="398"/>
      <c r="AD139" s="398"/>
      <c r="AE139" s="398"/>
      <c r="AF139" s="398"/>
      <c r="AG139" s="398"/>
      <c r="AH139" s="398"/>
      <c r="AI139" s="398"/>
    </row>
    <row r="140" spans="1:35" s="54" customFormat="1" outlineLevel="1">
      <c r="A140" s="398"/>
      <c r="B140" s="359" t="s">
        <v>1049</v>
      </c>
      <c r="C140" s="107" t="s">
        <v>1050</v>
      </c>
      <c r="D140" s="327" t="str">
        <f>D139</f>
        <v>E Eur</v>
      </c>
      <c r="E140" s="154">
        <v>0.2</v>
      </c>
      <c r="F140" s="340">
        <v>0.6719521762574977</v>
      </c>
      <c r="G140" s="171">
        <v>0.22690437601296595</v>
      </c>
      <c r="H140" s="154">
        <f t="shared" si="9"/>
        <v>0.30421393841166933</v>
      </c>
      <c r="I140" s="154">
        <f t="shared" si="9"/>
        <v>0.38152350081037278</v>
      </c>
      <c r="J140" s="154">
        <f t="shared" si="9"/>
        <v>0.42017828200972446</v>
      </c>
      <c r="K140" s="61">
        <v>1750.001042535446</v>
      </c>
      <c r="L140" s="171">
        <f t="shared" si="6"/>
        <v>1</v>
      </c>
      <c r="M140" s="171">
        <f t="shared" si="7"/>
        <v>0.32</v>
      </c>
      <c r="N140" s="398"/>
      <c r="O140" s="398"/>
      <c r="P140" s="398"/>
      <c r="Q140" s="398"/>
      <c r="R140" s="398"/>
      <c r="S140" s="398"/>
      <c r="T140" s="398"/>
      <c r="U140" s="398"/>
      <c r="V140" s="398"/>
      <c r="W140" s="398"/>
      <c r="X140" s="398"/>
      <c r="Y140" s="398"/>
      <c r="Z140" s="398"/>
      <c r="AA140" s="398"/>
      <c r="AB140" s="398"/>
      <c r="AC140" s="398"/>
      <c r="AD140" s="398"/>
      <c r="AE140" s="398"/>
      <c r="AF140" s="398"/>
      <c r="AG140" s="398"/>
      <c r="AH140" s="398"/>
      <c r="AI140" s="398"/>
    </row>
    <row r="141" spans="1:35" s="54" customFormat="1" outlineLevel="1">
      <c r="A141" s="398"/>
      <c r="B141" s="359" t="s">
        <v>1051</v>
      </c>
      <c r="C141" s="107" t="s">
        <v>1052</v>
      </c>
      <c r="D141" s="327" t="str">
        <f>D140</f>
        <v>E Eur</v>
      </c>
      <c r="E141" s="154">
        <v>0.2</v>
      </c>
      <c r="F141" s="340">
        <v>0.6719521762574977</v>
      </c>
      <c r="G141" s="171">
        <v>0.23</v>
      </c>
      <c r="H141" s="154">
        <f t="shared" si="9"/>
        <v>0.30700000000000005</v>
      </c>
      <c r="I141" s="154">
        <f t="shared" si="9"/>
        <v>0.38400000000000001</v>
      </c>
      <c r="J141" s="154">
        <f t="shared" si="9"/>
        <v>0.42249999999999999</v>
      </c>
      <c r="K141" s="61">
        <v>1750</v>
      </c>
      <c r="L141" s="171">
        <f t="shared" si="6"/>
        <v>1</v>
      </c>
      <c r="M141" s="171">
        <f t="shared" si="7"/>
        <v>0.32</v>
      </c>
      <c r="N141" s="398"/>
      <c r="O141" s="398"/>
      <c r="P141" s="398"/>
      <c r="Q141" s="398"/>
      <c r="R141" s="398"/>
      <c r="S141" s="398"/>
      <c r="T141" s="398"/>
      <c r="U141" s="398"/>
      <c r="V141" s="398"/>
      <c r="W141" s="398"/>
      <c r="X141" s="398"/>
      <c r="Y141" s="398"/>
      <c r="Z141" s="398"/>
      <c r="AA141" s="398"/>
      <c r="AB141" s="398"/>
      <c r="AC141" s="398"/>
      <c r="AD141" s="398"/>
      <c r="AE141" s="398"/>
      <c r="AF141" s="398"/>
      <c r="AG141" s="398"/>
      <c r="AH141" s="398"/>
      <c r="AI141" s="398"/>
    </row>
    <row r="142" spans="1:35" s="54" customFormat="1" outlineLevel="1">
      <c r="A142" s="398"/>
      <c r="B142" s="355" t="s">
        <v>1053</v>
      </c>
      <c r="C142" s="352" t="s">
        <v>994</v>
      </c>
      <c r="D142" s="353" t="str">
        <f>C142</f>
        <v>LatAm</v>
      </c>
      <c r="E142" s="356">
        <v>0.23110833333333328</v>
      </c>
      <c r="F142" s="357">
        <v>1.4454335071877891</v>
      </c>
      <c r="G142" s="358">
        <v>0.62665998890823393</v>
      </c>
      <c r="H142" s="154">
        <f t="shared" si="9"/>
        <v>0.66399399001741055</v>
      </c>
      <c r="I142" s="154">
        <f t="shared" si="9"/>
        <v>0.70132799112658717</v>
      </c>
      <c r="J142" s="154">
        <f t="shared" si="9"/>
        <v>0.71999499168117542</v>
      </c>
      <c r="K142" s="68">
        <v>1521.4003590955426</v>
      </c>
      <c r="L142" s="358">
        <f t="shared" si="6"/>
        <v>1</v>
      </c>
      <c r="M142" s="358">
        <f t="shared" si="7"/>
        <v>0.32</v>
      </c>
      <c r="N142" s="398"/>
      <c r="O142" s="398"/>
      <c r="P142" s="398"/>
      <c r="Q142" s="398"/>
      <c r="R142" s="398"/>
      <c r="S142" s="398"/>
      <c r="T142" s="398"/>
      <c r="U142" s="398"/>
      <c r="V142" s="398"/>
      <c r="W142" s="398"/>
      <c r="X142" s="398"/>
      <c r="Y142" s="398"/>
      <c r="Z142" s="398"/>
      <c r="AA142" s="398"/>
      <c r="AB142" s="398"/>
      <c r="AC142" s="398"/>
      <c r="AD142" s="398"/>
      <c r="AE142" s="398"/>
      <c r="AF142" s="398"/>
      <c r="AG142" s="398"/>
      <c r="AH142" s="398"/>
      <c r="AI142" s="398"/>
    </row>
    <row r="143" spans="1:35" s="54" customFormat="1" outlineLevel="1">
      <c r="A143" s="398"/>
      <c r="B143" s="359" t="s">
        <v>1054</v>
      </c>
      <c r="C143" s="107" t="s">
        <v>1055</v>
      </c>
      <c r="D143" s="181" t="str">
        <f>D142</f>
        <v>LatAm</v>
      </c>
      <c r="E143" s="154">
        <v>0.34</v>
      </c>
      <c r="F143" s="340">
        <v>1.4454335071877891</v>
      </c>
      <c r="G143" s="171">
        <v>0.42250405186385737</v>
      </c>
      <c r="H143" s="154">
        <f t="shared" si="9"/>
        <v>0.48025364667747161</v>
      </c>
      <c r="I143" s="154">
        <f t="shared" si="9"/>
        <v>0.53800324149108592</v>
      </c>
      <c r="J143" s="154">
        <f t="shared" si="9"/>
        <v>0.56687803889789301</v>
      </c>
      <c r="K143" s="61">
        <v>1750.001042535446</v>
      </c>
      <c r="L143" s="171">
        <f t="shared" si="6"/>
        <v>1</v>
      </c>
      <c r="M143" s="171">
        <f t="shared" si="7"/>
        <v>0.32</v>
      </c>
      <c r="N143" s="398"/>
      <c r="O143" s="398"/>
      <c r="P143" s="398"/>
      <c r="Q143" s="398"/>
      <c r="R143" s="398"/>
      <c r="S143" s="398"/>
      <c r="T143" s="398"/>
      <c r="U143" s="398"/>
      <c r="V143" s="398"/>
      <c r="W143" s="398"/>
      <c r="X143" s="398"/>
      <c r="Y143" s="398"/>
      <c r="Z143" s="398"/>
      <c r="AA143" s="398"/>
      <c r="AB143" s="398"/>
      <c r="AC143" s="398"/>
      <c r="AD143" s="398"/>
      <c r="AE143" s="398"/>
      <c r="AF143" s="398"/>
      <c r="AG143" s="398"/>
      <c r="AH143" s="398"/>
      <c r="AI143" s="398"/>
    </row>
    <row r="144" spans="1:35" s="54" customFormat="1" outlineLevel="1">
      <c r="A144" s="398"/>
      <c r="B144" s="359" t="s">
        <v>1056</v>
      </c>
      <c r="C144" s="107" t="s">
        <v>1057</v>
      </c>
      <c r="D144" s="181" t="str">
        <f t="shared" ref="D144:D168" si="10">D143</f>
        <v>LatAm</v>
      </c>
      <c r="E144" s="154">
        <v>0.17</v>
      </c>
      <c r="F144" s="340">
        <v>1.4454335071877891</v>
      </c>
      <c r="G144" s="171">
        <v>0.42250405186385737</v>
      </c>
      <c r="H144" s="154">
        <f t="shared" si="9"/>
        <v>0.48025364667747161</v>
      </c>
      <c r="I144" s="154">
        <f t="shared" si="9"/>
        <v>0.53800324149108592</v>
      </c>
      <c r="J144" s="154">
        <f t="shared" si="9"/>
        <v>0.56687803889789301</v>
      </c>
      <c r="K144" s="61">
        <v>1750.001042535446</v>
      </c>
      <c r="L144" s="171">
        <f t="shared" si="6"/>
        <v>1</v>
      </c>
      <c r="M144" s="171">
        <f t="shared" si="7"/>
        <v>0.32</v>
      </c>
      <c r="N144" s="398"/>
      <c r="O144" s="398"/>
      <c r="P144" s="398"/>
      <c r="Q144" s="398"/>
      <c r="R144" s="398"/>
      <c r="S144" s="398"/>
      <c r="T144" s="398"/>
      <c r="U144" s="398"/>
      <c r="V144" s="398"/>
      <c r="W144" s="398"/>
      <c r="X144" s="398"/>
      <c r="Y144" s="398"/>
      <c r="Z144" s="398"/>
      <c r="AA144" s="398"/>
      <c r="AB144" s="398"/>
      <c r="AC144" s="398"/>
      <c r="AD144" s="398"/>
      <c r="AE144" s="398"/>
      <c r="AF144" s="398"/>
      <c r="AG144" s="398"/>
      <c r="AH144" s="398"/>
      <c r="AI144" s="398"/>
    </row>
    <row r="145" spans="1:35" s="54" customFormat="1" outlineLevel="1">
      <c r="A145" s="398"/>
      <c r="B145" s="359" t="s">
        <v>1058</v>
      </c>
      <c r="C145" s="107" t="s">
        <v>1059</v>
      </c>
      <c r="D145" s="181" t="str">
        <f t="shared" si="10"/>
        <v>LatAm</v>
      </c>
      <c r="E145" s="154">
        <v>0.28000000000000003</v>
      </c>
      <c r="F145" s="340">
        <v>1.4454335071877891</v>
      </c>
      <c r="G145" s="171">
        <v>0.10789814415192057</v>
      </c>
      <c r="H145" s="154">
        <f t="shared" si="9"/>
        <v>0.19710832973672854</v>
      </c>
      <c r="I145" s="154">
        <f t="shared" si="9"/>
        <v>0.28631851532153646</v>
      </c>
      <c r="J145" s="154">
        <f t="shared" si="9"/>
        <v>0.33092360811394045</v>
      </c>
      <c r="K145" s="61">
        <v>1847.9999999999998</v>
      </c>
      <c r="L145" s="171">
        <f t="shared" si="6"/>
        <v>1</v>
      </c>
      <c r="M145" s="171">
        <f t="shared" si="7"/>
        <v>0.32</v>
      </c>
      <c r="N145" s="398"/>
      <c r="O145" s="398"/>
      <c r="P145" s="398"/>
      <c r="Q145" s="398"/>
      <c r="R145" s="398"/>
      <c r="S145" s="398"/>
      <c r="T145" s="398"/>
      <c r="U145" s="398"/>
      <c r="V145" s="398"/>
      <c r="W145" s="398"/>
      <c r="X145" s="398"/>
      <c r="Y145" s="398"/>
      <c r="Z145" s="398"/>
      <c r="AA145" s="398"/>
      <c r="AB145" s="398"/>
      <c r="AC145" s="398"/>
      <c r="AD145" s="398"/>
      <c r="AE145" s="398"/>
      <c r="AF145" s="398"/>
      <c r="AG145" s="398"/>
      <c r="AH145" s="398"/>
      <c r="AI145" s="398"/>
    </row>
    <row r="146" spans="1:35" s="54" customFormat="1" outlineLevel="1">
      <c r="A146" s="398"/>
      <c r="B146" s="355" t="s">
        <v>1060</v>
      </c>
      <c r="C146" s="352" t="s">
        <v>995</v>
      </c>
      <c r="D146" s="181" t="str">
        <f>C146</f>
        <v>MEA</v>
      </c>
      <c r="E146" s="356">
        <v>0.26555555555555554</v>
      </c>
      <c r="F146" s="357">
        <v>0.45142862190259175</v>
      </c>
      <c r="G146" s="358">
        <v>0.21</v>
      </c>
      <c r="H146" s="154">
        <f t="shared" si="9"/>
        <v>0.28900000000000003</v>
      </c>
      <c r="I146" s="154">
        <f t="shared" si="9"/>
        <v>0.36799999999999999</v>
      </c>
      <c r="J146" s="154">
        <f t="shared" si="9"/>
        <v>0.40749999999999997</v>
      </c>
      <c r="K146" s="61">
        <v>1700</v>
      </c>
      <c r="L146" s="358">
        <f t="shared" si="6"/>
        <v>1</v>
      </c>
      <c r="M146" s="358">
        <f t="shared" si="7"/>
        <v>0.32</v>
      </c>
      <c r="N146" s="398"/>
      <c r="O146" s="398"/>
      <c r="P146" s="398"/>
      <c r="Q146" s="398"/>
      <c r="R146" s="398"/>
      <c r="S146" s="398"/>
      <c r="T146" s="398"/>
      <c r="U146" s="398"/>
      <c r="V146" s="398"/>
      <c r="W146" s="398"/>
      <c r="X146" s="398"/>
      <c r="Y146" s="398"/>
      <c r="Z146" s="398"/>
      <c r="AA146" s="398"/>
      <c r="AB146" s="398"/>
      <c r="AC146" s="398"/>
      <c r="AD146" s="398"/>
      <c r="AE146" s="398"/>
      <c r="AF146" s="398"/>
      <c r="AG146" s="398"/>
      <c r="AH146" s="398"/>
      <c r="AI146" s="398"/>
    </row>
    <row r="147" spans="1:35" s="54" customFormat="1" outlineLevel="1">
      <c r="A147" s="398"/>
      <c r="B147" s="359" t="s">
        <v>1061</v>
      </c>
      <c r="C147" s="107" t="s">
        <v>1062</v>
      </c>
      <c r="D147" s="181" t="str">
        <f t="shared" si="10"/>
        <v>MEA</v>
      </c>
      <c r="E147" s="154">
        <v>0.2</v>
      </c>
      <c r="F147" s="340">
        <v>0.45142862190259175</v>
      </c>
      <c r="G147" s="171">
        <v>0.3</v>
      </c>
      <c r="H147" s="154">
        <f t="shared" si="9"/>
        <v>0.37</v>
      </c>
      <c r="I147" s="154">
        <f t="shared" si="9"/>
        <v>0.43999999999999995</v>
      </c>
      <c r="J147" s="154">
        <f t="shared" si="9"/>
        <v>0.47499999999999998</v>
      </c>
      <c r="K147" s="61">
        <v>1700</v>
      </c>
      <c r="L147" s="171">
        <f t="shared" si="6"/>
        <v>1</v>
      </c>
      <c r="M147" s="171">
        <f t="shared" si="7"/>
        <v>0.32</v>
      </c>
      <c r="N147" s="398"/>
      <c r="O147" s="398"/>
      <c r="P147" s="398"/>
      <c r="Q147" s="398"/>
      <c r="R147" s="398"/>
      <c r="S147" s="398"/>
      <c r="T147" s="398"/>
      <c r="U147" s="398"/>
      <c r="V147" s="398"/>
      <c r="W147" s="398"/>
      <c r="X147" s="398"/>
      <c r="Y147" s="398"/>
      <c r="Z147" s="398"/>
      <c r="AA147" s="398"/>
      <c r="AB147" s="398"/>
      <c r="AC147" s="398"/>
      <c r="AD147" s="398"/>
      <c r="AE147" s="398"/>
      <c r="AF147" s="398"/>
      <c r="AG147" s="398"/>
      <c r="AH147" s="398"/>
      <c r="AI147" s="398"/>
    </row>
    <row r="148" spans="1:35" s="54" customFormat="1" outlineLevel="1">
      <c r="A148" s="398"/>
      <c r="B148" s="359" t="s">
        <v>1063</v>
      </c>
      <c r="C148" s="107" t="s">
        <v>1064</v>
      </c>
      <c r="D148" s="181" t="str">
        <f t="shared" si="10"/>
        <v>MEA</v>
      </c>
      <c r="E148" s="154">
        <v>0.26</v>
      </c>
      <c r="F148" s="340">
        <v>0.45142862190259175</v>
      </c>
      <c r="G148" s="171">
        <v>0.4</v>
      </c>
      <c r="H148" s="154">
        <f t="shared" si="9"/>
        <v>0.46</v>
      </c>
      <c r="I148" s="154">
        <f t="shared" si="9"/>
        <v>0.52</v>
      </c>
      <c r="J148" s="154">
        <f t="shared" si="9"/>
        <v>0.55000000000000004</v>
      </c>
      <c r="K148" s="61">
        <v>1700</v>
      </c>
      <c r="L148" s="171">
        <f t="shared" si="6"/>
        <v>1</v>
      </c>
      <c r="M148" s="171">
        <f t="shared" si="7"/>
        <v>0.32</v>
      </c>
      <c r="N148" s="398"/>
      <c r="O148" s="398"/>
      <c r="P148" s="398"/>
      <c r="Q148" s="398"/>
      <c r="R148" s="398"/>
      <c r="S148" s="398"/>
      <c r="T148" s="398"/>
      <c r="U148" s="398"/>
      <c r="V148" s="398"/>
      <c r="W148" s="398"/>
      <c r="X148" s="398"/>
      <c r="Y148" s="398"/>
      <c r="Z148" s="398"/>
      <c r="AA148" s="398"/>
      <c r="AB148" s="398"/>
      <c r="AC148" s="398"/>
      <c r="AD148" s="398"/>
      <c r="AE148" s="398"/>
      <c r="AF148" s="398"/>
      <c r="AG148" s="398"/>
      <c r="AH148" s="398"/>
      <c r="AI148" s="398"/>
    </row>
    <row r="149" spans="1:35" s="54" customFormat="1" outlineLevel="1">
      <c r="A149" s="398"/>
      <c r="B149" s="359" t="s">
        <v>1065</v>
      </c>
      <c r="C149" s="107" t="s">
        <v>1066</v>
      </c>
      <c r="D149" s="181" t="str">
        <f t="shared" si="10"/>
        <v>MEA</v>
      </c>
      <c r="E149" s="154">
        <v>0.25</v>
      </c>
      <c r="F149" s="340">
        <v>0.45142862190259175</v>
      </c>
      <c r="G149" s="171">
        <v>0.3</v>
      </c>
      <c r="H149" s="154">
        <f t="shared" si="9"/>
        <v>0.37</v>
      </c>
      <c r="I149" s="154">
        <f t="shared" si="9"/>
        <v>0.43999999999999995</v>
      </c>
      <c r="J149" s="154">
        <f t="shared" si="9"/>
        <v>0.47499999999999998</v>
      </c>
      <c r="K149" s="61">
        <v>1700</v>
      </c>
      <c r="L149" s="171">
        <f t="shared" si="6"/>
        <v>1</v>
      </c>
      <c r="M149" s="171">
        <f t="shared" si="7"/>
        <v>0.32</v>
      </c>
      <c r="N149" s="398"/>
      <c r="O149" s="398"/>
      <c r="P149" s="398"/>
      <c r="Q149" s="398"/>
      <c r="R149" s="398"/>
      <c r="S149" s="398"/>
      <c r="T149" s="398"/>
      <c r="U149" s="398"/>
      <c r="V149" s="398"/>
      <c r="W149" s="398"/>
      <c r="X149" s="398"/>
      <c r="Y149" s="398"/>
      <c r="Z149" s="398"/>
      <c r="AA149" s="398"/>
      <c r="AB149" s="398"/>
      <c r="AC149" s="398"/>
      <c r="AD149" s="398"/>
      <c r="AE149" s="398"/>
      <c r="AF149" s="398"/>
      <c r="AG149" s="398"/>
      <c r="AH149" s="398"/>
      <c r="AI149" s="398"/>
    </row>
    <row r="150" spans="1:35" s="54" customFormat="1" outlineLevel="1">
      <c r="A150" s="398"/>
      <c r="B150" s="359" t="s">
        <v>1067</v>
      </c>
      <c r="C150" s="107" t="s">
        <v>1068</v>
      </c>
      <c r="D150" s="181" t="str">
        <f t="shared" si="10"/>
        <v>MEA</v>
      </c>
      <c r="E150" s="154">
        <v>0.15</v>
      </c>
      <c r="F150" s="340">
        <v>0.45142862190259175</v>
      </c>
      <c r="G150" s="171">
        <v>0.3</v>
      </c>
      <c r="H150" s="154">
        <f t="shared" si="9"/>
        <v>0.37</v>
      </c>
      <c r="I150" s="154">
        <f t="shared" si="9"/>
        <v>0.43999999999999995</v>
      </c>
      <c r="J150" s="154">
        <f t="shared" si="9"/>
        <v>0.47499999999999998</v>
      </c>
      <c r="K150" s="61">
        <v>1700</v>
      </c>
      <c r="L150" s="171">
        <f t="shared" si="6"/>
        <v>1</v>
      </c>
      <c r="M150" s="171">
        <f t="shared" si="7"/>
        <v>0.32</v>
      </c>
      <c r="N150" s="398"/>
      <c r="O150" s="398"/>
      <c r="P150" s="398"/>
      <c r="Q150" s="398"/>
      <c r="R150" s="398"/>
      <c r="S150" s="398"/>
      <c r="T150" s="398"/>
      <c r="U150" s="398"/>
      <c r="V150" s="398"/>
      <c r="W150" s="398"/>
      <c r="X150" s="398"/>
      <c r="Y150" s="398"/>
      <c r="Z150" s="398"/>
      <c r="AA150" s="398"/>
      <c r="AB150" s="398"/>
      <c r="AC150" s="398"/>
      <c r="AD150" s="398"/>
      <c r="AE150" s="398"/>
      <c r="AF150" s="398"/>
      <c r="AG150" s="398"/>
      <c r="AH150" s="398"/>
      <c r="AI150" s="398"/>
    </row>
    <row r="151" spans="1:35" s="54" customFormat="1" outlineLevel="1">
      <c r="A151" s="398"/>
      <c r="B151" s="359" t="s">
        <v>1069</v>
      </c>
      <c r="C151" s="107" t="s">
        <v>1070</v>
      </c>
      <c r="D151" s="181" t="str">
        <f t="shared" si="10"/>
        <v>MEA</v>
      </c>
      <c r="E151" s="154">
        <v>0.3</v>
      </c>
      <c r="F151" s="340">
        <v>0.45142862190259175</v>
      </c>
      <c r="G151" s="171">
        <v>0.3</v>
      </c>
      <c r="H151" s="154">
        <f t="shared" si="9"/>
        <v>0.37</v>
      </c>
      <c r="I151" s="154">
        <f t="shared" si="9"/>
        <v>0.43999999999999995</v>
      </c>
      <c r="J151" s="154">
        <f t="shared" si="9"/>
        <v>0.47499999999999998</v>
      </c>
      <c r="K151" s="61">
        <v>1700</v>
      </c>
      <c r="L151" s="171">
        <f t="shared" si="6"/>
        <v>1</v>
      </c>
      <c r="M151" s="171">
        <f t="shared" si="7"/>
        <v>0.32</v>
      </c>
      <c r="N151" s="398"/>
      <c r="O151" s="398"/>
      <c r="P151" s="398"/>
      <c r="Q151" s="398"/>
      <c r="R151" s="398"/>
      <c r="S151" s="398"/>
      <c r="T151" s="398"/>
      <c r="U151" s="398"/>
      <c r="V151" s="398"/>
      <c r="W151" s="398"/>
      <c r="X151" s="398"/>
      <c r="Y151" s="398"/>
      <c r="Z151" s="398"/>
      <c r="AA151" s="398"/>
      <c r="AB151" s="398"/>
      <c r="AC151" s="398"/>
      <c r="AD151" s="398"/>
      <c r="AE151" s="398"/>
      <c r="AF151" s="398"/>
      <c r="AG151" s="398"/>
      <c r="AH151" s="398"/>
      <c r="AI151" s="398"/>
    </row>
    <row r="152" spans="1:35" s="54" customFormat="1" outlineLevel="1">
      <c r="A152" s="398"/>
      <c r="B152" s="359" t="s">
        <v>1071</v>
      </c>
      <c r="C152" s="107" t="s">
        <v>1072</v>
      </c>
      <c r="D152" s="181" t="str">
        <f t="shared" si="10"/>
        <v>MEA</v>
      </c>
      <c r="E152" s="154">
        <v>0.2</v>
      </c>
      <c r="F152" s="340">
        <v>0.45142862190259175</v>
      </c>
      <c r="G152" s="171">
        <v>0.35</v>
      </c>
      <c r="H152" s="154">
        <f t="shared" si="9"/>
        <v>0.41499999999999998</v>
      </c>
      <c r="I152" s="154">
        <f t="shared" si="9"/>
        <v>0.48</v>
      </c>
      <c r="J152" s="154">
        <f t="shared" si="9"/>
        <v>0.51249999999999996</v>
      </c>
      <c r="K152" s="61">
        <v>1700</v>
      </c>
      <c r="L152" s="171">
        <f t="shared" si="6"/>
        <v>1</v>
      </c>
      <c r="M152" s="171">
        <f t="shared" si="7"/>
        <v>0.32</v>
      </c>
      <c r="N152" s="398"/>
      <c r="O152" s="398"/>
      <c r="P152" s="398"/>
      <c r="Q152" s="398"/>
      <c r="R152" s="398"/>
      <c r="S152" s="398"/>
      <c r="T152" s="398"/>
      <c r="U152" s="398"/>
      <c r="V152" s="398"/>
      <c r="W152" s="398"/>
      <c r="X152" s="398"/>
      <c r="Y152" s="398"/>
      <c r="Z152" s="398"/>
      <c r="AA152" s="398"/>
      <c r="AB152" s="398"/>
      <c r="AC152" s="398"/>
      <c r="AD152" s="398"/>
      <c r="AE152" s="398"/>
      <c r="AF152" s="398"/>
      <c r="AG152" s="398"/>
      <c r="AH152" s="398"/>
      <c r="AI152" s="398"/>
    </row>
    <row r="153" spans="1:35" s="54" customFormat="1" outlineLevel="1">
      <c r="A153" s="398"/>
      <c r="B153" s="359" t="s">
        <v>1073</v>
      </c>
      <c r="C153" s="107" t="s">
        <v>1074</v>
      </c>
      <c r="D153" s="181" t="str">
        <f t="shared" si="10"/>
        <v>MEA</v>
      </c>
      <c r="E153" s="154">
        <v>0.34549999999999997</v>
      </c>
      <c r="F153" s="340">
        <v>0.45142862190259175</v>
      </c>
      <c r="G153" s="171">
        <v>0.3</v>
      </c>
      <c r="H153" s="154">
        <f t="shared" si="9"/>
        <v>0.37</v>
      </c>
      <c r="I153" s="154">
        <f t="shared" si="9"/>
        <v>0.43999999999999995</v>
      </c>
      <c r="J153" s="154">
        <f t="shared" si="9"/>
        <v>0.47499999999999998</v>
      </c>
      <c r="K153" s="61">
        <v>1700</v>
      </c>
      <c r="L153" s="171">
        <f t="shared" si="6"/>
        <v>1</v>
      </c>
      <c r="M153" s="171">
        <f t="shared" si="7"/>
        <v>0.32</v>
      </c>
      <c r="N153" s="398"/>
      <c r="O153" s="398"/>
      <c r="P153" s="398"/>
      <c r="Q153" s="398"/>
      <c r="R153" s="398"/>
      <c r="S153" s="398"/>
      <c r="T153" s="398"/>
      <c r="U153" s="398"/>
      <c r="V153" s="398"/>
      <c r="W153" s="398"/>
      <c r="X153" s="398"/>
      <c r="Y153" s="398"/>
      <c r="Z153" s="398"/>
      <c r="AA153" s="398"/>
      <c r="AB153" s="398"/>
      <c r="AC153" s="398"/>
      <c r="AD153" s="398"/>
      <c r="AE153" s="398"/>
      <c r="AF153" s="398"/>
      <c r="AG153" s="398"/>
      <c r="AH153" s="398"/>
      <c r="AI153" s="398"/>
    </row>
    <row r="154" spans="1:35" s="54" customFormat="1" outlineLevel="1">
      <c r="A154" s="398"/>
      <c r="B154" s="359" t="s">
        <v>1075</v>
      </c>
      <c r="C154" s="107" t="s">
        <v>996</v>
      </c>
      <c r="D154" s="181" t="str">
        <f>C154</f>
        <v>Canada</v>
      </c>
      <c r="E154" s="154">
        <v>0.33</v>
      </c>
      <c r="F154" s="340">
        <v>1.4718997698663252</v>
      </c>
      <c r="G154" s="171">
        <v>0.83350000000000002</v>
      </c>
      <c r="H154" s="154">
        <f t="shared" si="9"/>
        <v>0.85014999999999996</v>
      </c>
      <c r="I154" s="154">
        <f t="shared" si="9"/>
        <v>0.86680000000000001</v>
      </c>
      <c r="J154" s="154">
        <f t="shared" si="9"/>
        <v>0.87512500000000004</v>
      </c>
      <c r="K154" s="61">
        <v>1751</v>
      </c>
      <c r="L154" s="171">
        <f t="shared" si="6"/>
        <v>1</v>
      </c>
      <c r="M154" s="171">
        <f t="shared" si="7"/>
        <v>0.32</v>
      </c>
      <c r="N154" s="398"/>
      <c r="O154" s="398"/>
      <c r="P154" s="398"/>
      <c r="Q154" s="398"/>
      <c r="R154" s="398"/>
      <c r="S154" s="398"/>
      <c r="T154" s="398"/>
      <c r="U154" s="398"/>
      <c r="V154" s="398"/>
      <c r="W154" s="398"/>
      <c r="X154" s="398"/>
      <c r="Y154" s="398"/>
      <c r="Z154" s="398"/>
      <c r="AA154" s="398"/>
      <c r="AB154" s="398"/>
      <c r="AC154" s="398"/>
      <c r="AD154" s="398"/>
      <c r="AE154" s="398"/>
      <c r="AF154" s="398"/>
      <c r="AG154" s="398"/>
      <c r="AH154" s="398"/>
      <c r="AI154" s="398"/>
    </row>
    <row r="155" spans="1:35" s="54" customFormat="1" outlineLevel="1">
      <c r="A155" s="398"/>
      <c r="B155" s="359" t="s">
        <v>1076</v>
      </c>
      <c r="C155" s="107" t="s">
        <v>997</v>
      </c>
      <c r="D155" s="181" t="str">
        <f>C155</f>
        <v>US</v>
      </c>
      <c r="E155" s="154">
        <v>0.4</v>
      </c>
      <c r="F155" s="340">
        <v>1</v>
      </c>
      <c r="G155" s="171">
        <v>1</v>
      </c>
      <c r="H155" s="154">
        <f t="shared" si="9"/>
        <v>1</v>
      </c>
      <c r="I155" s="154">
        <f t="shared" si="9"/>
        <v>1</v>
      </c>
      <c r="J155" s="154">
        <f t="shared" si="9"/>
        <v>1</v>
      </c>
      <c r="K155" s="61">
        <v>1824</v>
      </c>
      <c r="L155" s="171">
        <f t="shared" si="6"/>
        <v>1</v>
      </c>
      <c r="M155" s="171">
        <f t="shared" si="7"/>
        <v>0.32</v>
      </c>
      <c r="N155" s="398"/>
      <c r="O155" s="398"/>
      <c r="P155" s="398"/>
      <c r="Q155" s="398"/>
      <c r="R155" s="398"/>
      <c r="S155" s="398"/>
      <c r="T155" s="398"/>
      <c r="U155" s="398"/>
      <c r="V155" s="398"/>
      <c r="W155" s="398"/>
      <c r="X155" s="398"/>
      <c r="Y155" s="398"/>
      <c r="Z155" s="398"/>
      <c r="AA155" s="398"/>
      <c r="AB155" s="398"/>
      <c r="AC155" s="398"/>
      <c r="AD155" s="398"/>
      <c r="AE155" s="398"/>
      <c r="AF155" s="398"/>
      <c r="AG155" s="398"/>
      <c r="AH155" s="398"/>
      <c r="AI155" s="398"/>
    </row>
    <row r="156" spans="1:35" s="54" customFormat="1" outlineLevel="1">
      <c r="A156" s="398"/>
      <c r="B156" s="355" t="s">
        <v>1077</v>
      </c>
      <c r="C156" s="352" t="s">
        <v>998</v>
      </c>
      <c r="D156" s="181" t="str">
        <f>C156</f>
        <v>W Eur</v>
      </c>
      <c r="E156" s="356">
        <v>0.21441428571428572</v>
      </c>
      <c r="F156" s="357">
        <v>1.4395232604189647</v>
      </c>
      <c r="G156" s="358">
        <v>0.9193811681772408</v>
      </c>
      <c r="H156" s="154">
        <f t="shared" si="9"/>
        <v>0.92744305135951677</v>
      </c>
      <c r="I156" s="154">
        <f t="shared" si="9"/>
        <v>0.93550493454179262</v>
      </c>
      <c r="J156" s="154">
        <f t="shared" si="9"/>
        <v>0.93953587613293066</v>
      </c>
      <c r="K156" s="68">
        <v>1544.6001042535445</v>
      </c>
      <c r="L156" s="358">
        <f t="shared" si="6"/>
        <v>1</v>
      </c>
      <c r="M156" s="358">
        <f t="shared" si="7"/>
        <v>0.32</v>
      </c>
      <c r="N156" s="398"/>
      <c r="O156" s="398"/>
      <c r="P156" s="398"/>
      <c r="Q156" s="398"/>
      <c r="R156" s="398"/>
      <c r="S156" s="398"/>
      <c r="T156" s="398"/>
      <c r="U156" s="398"/>
      <c r="V156" s="398"/>
      <c r="W156" s="398"/>
      <c r="X156" s="398"/>
      <c r="Y156" s="398"/>
      <c r="Z156" s="398"/>
      <c r="AA156" s="398"/>
      <c r="AB156" s="398"/>
      <c r="AC156" s="398"/>
      <c r="AD156" s="398"/>
      <c r="AE156" s="398"/>
      <c r="AF156" s="398"/>
      <c r="AG156" s="398"/>
      <c r="AH156" s="398"/>
      <c r="AI156" s="398"/>
    </row>
    <row r="157" spans="1:35" s="54" customFormat="1" outlineLevel="1">
      <c r="A157" s="398"/>
      <c r="B157" s="359" t="s">
        <v>1078</v>
      </c>
      <c r="C157" s="107" t="s">
        <v>1079</v>
      </c>
      <c r="D157" s="181" t="str">
        <f t="shared" si="10"/>
        <v>W Eur</v>
      </c>
      <c r="E157" s="154">
        <v>0.33989999999999998</v>
      </c>
      <c r="F157" s="340">
        <v>1.4395232604189647</v>
      </c>
      <c r="G157" s="171">
        <v>0.93299999999999994</v>
      </c>
      <c r="H157" s="154">
        <f t="shared" si="9"/>
        <v>0.93969999999999998</v>
      </c>
      <c r="I157" s="154">
        <f t="shared" si="9"/>
        <v>0.94639999999999991</v>
      </c>
      <c r="J157" s="154">
        <f t="shared" si="9"/>
        <v>0.94974999999999998</v>
      </c>
      <c r="K157" s="61">
        <v>1750.001042535446</v>
      </c>
      <c r="L157" s="171">
        <f t="shared" si="6"/>
        <v>1</v>
      </c>
      <c r="M157" s="171">
        <f t="shared" si="7"/>
        <v>0.32</v>
      </c>
      <c r="N157" s="398"/>
      <c r="O157" s="398"/>
      <c r="P157" s="398"/>
      <c r="Q157" s="398"/>
      <c r="R157" s="398"/>
      <c r="S157" s="398"/>
      <c r="T157" s="398"/>
      <c r="U157" s="398"/>
      <c r="V157" s="398"/>
      <c r="W157" s="398"/>
      <c r="X157" s="398"/>
      <c r="Y157" s="398"/>
      <c r="Z157" s="398"/>
      <c r="AA157" s="398"/>
      <c r="AB157" s="398"/>
      <c r="AC157" s="398"/>
      <c r="AD157" s="398"/>
      <c r="AE157" s="398"/>
      <c r="AF157" s="398"/>
      <c r="AG157" s="398"/>
      <c r="AH157" s="398"/>
      <c r="AI157" s="398"/>
    </row>
    <row r="158" spans="1:35" s="54" customFormat="1" outlineLevel="1">
      <c r="A158" s="398"/>
      <c r="B158" s="359" t="s">
        <v>1080</v>
      </c>
      <c r="C158" s="107" t="s">
        <v>1081</v>
      </c>
      <c r="D158" s="181" t="str">
        <f t="shared" si="10"/>
        <v>W Eur</v>
      </c>
      <c r="E158" s="154">
        <v>0.25</v>
      </c>
      <c r="F158" s="340">
        <v>1.4395232604189647</v>
      </c>
      <c r="G158" s="171">
        <v>1.1178124730254639</v>
      </c>
      <c r="H158" s="154">
        <f t="shared" si="9"/>
        <v>1.1060312257229175</v>
      </c>
      <c r="I158" s="154">
        <f t="shared" si="9"/>
        <v>1.0942499784203712</v>
      </c>
      <c r="J158" s="154">
        <f t="shared" si="9"/>
        <v>1.088359354769098</v>
      </c>
      <c r="K158" s="61">
        <v>1454</v>
      </c>
      <c r="L158" s="171">
        <f t="shared" si="6"/>
        <v>1</v>
      </c>
      <c r="M158" s="171">
        <f t="shared" si="7"/>
        <v>0.32</v>
      </c>
      <c r="N158" s="398"/>
      <c r="O158" s="398"/>
      <c r="P158" s="398"/>
      <c r="Q158" s="398"/>
      <c r="R158" s="398"/>
      <c r="S158" s="398"/>
      <c r="T158" s="398"/>
      <c r="U158" s="398"/>
      <c r="V158" s="398"/>
      <c r="W158" s="398"/>
      <c r="X158" s="398"/>
      <c r="Y158" s="398"/>
      <c r="Z158" s="398"/>
      <c r="AA158" s="398"/>
      <c r="AB158" s="398"/>
      <c r="AC158" s="398"/>
      <c r="AD158" s="398"/>
      <c r="AE158" s="398"/>
      <c r="AF158" s="398"/>
      <c r="AG158" s="398"/>
      <c r="AH158" s="398"/>
      <c r="AI158" s="398"/>
    </row>
    <row r="159" spans="1:35" s="54" customFormat="1" outlineLevel="1">
      <c r="A159" s="398"/>
      <c r="B159" s="359" t="s">
        <v>1082</v>
      </c>
      <c r="C159" s="107" t="s">
        <v>1083</v>
      </c>
      <c r="D159" s="181" t="str">
        <f t="shared" si="10"/>
        <v>W Eur</v>
      </c>
      <c r="E159" s="154">
        <v>0.26</v>
      </c>
      <c r="F159" s="340">
        <v>1.4395232604189647</v>
      </c>
      <c r="G159" s="171">
        <v>0.95</v>
      </c>
      <c r="H159" s="154">
        <f t="shared" ref="H159:J169" si="11">$G159+(H$172-$G159)*H$171</f>
        <v>0.95499999999999996</v>
      </c>
      <c r="I159" s="154">
        <f t="shared" si="11"/>
        <v>0.96</v>
      </c>
      <c r="J159" s="154">
        <f t="shared" si="11"/>
        <v>0.96249999999999991</v>
      </c>
      <c r="K159" s="61">
        <v>1500</v>
      </c>
      <c r="L159" s="171">
        <f t="shared" si="6"/>
        <v>1</v>
      </c>
      <c r="M159" s="171">
        <f t="shared" si="7"/>
        <v>0.32</v>
      </c>
      <c r="N159" s="398"/>
      <c r="O159" s="398"/>
      <c r="P159" s="398"/>
      <c r="Q159" s="398"/>
      <c r="R159" s="398"/>
      <c r="S159" s="398"/>
      <c r="T159" s="398"/>
      <c r="U159" s="398"/>
      <c r="V159" s="398"/>
      <c r="W159" s="398"/>
      <c r="X159" s="398"/>
      <c r="Y159" s="398"/>
      <c r="Z159" s="398"/>
      <c r="AA159" s="398"/>
      <c r="AB159" s="398"/>
      <c r="AC159" s="398"/>
      <c r="AD159" s="398"/>
      <c r="AE159" s="398"/>
      <c r="AF159" s="398"/>
      <c r="AG159" s="398"/>
      <c r="AH159" s="398"/>
      <c r="AI159" s="398"/>
    </row>
    <row r="160" spans="1:35" s="54" customFormat="1" outlineLevel="1">
      <c r="A160" s="398"/>
      <c r="B160" s="359" t="s">
        <v>1084</v>
      </c>
      <c r="C160" s="107" t="s">
        <v>1085</v>
      </c>
      <c r="D160" s="181" t="str">
        <f t="shared" si="10"/>
        <v>W Eur</v>
      </c>
      <c r="E160" s="154">
        <v>0.33329999999999999</v>
      </c>
      <c r="F160" s="340">
        <v>1.4395232604189647</v>
      </c>
      <c r="G160" s="171">
        <v>0.96302488850525092</v>
      </c>
      <c r="H160" s="154">
        <f t="shared" si="11"/>
        <v>0.96672239965472584</v>
      </c>
      <c r="I160" s="154">
        <f t="shared" si="11"/>
        <v>0.97041991080420076</v>
      </c>
      <c r="J160" s="154">
        <f t="shared" si="11"/>
        <v>0.97226866637893816</v>
      </c>
      <c r="K160" s="61">
        <v>1441</v>
      </c>
      <c r="L160" s="171">
        <f t="shared" si="6"/>
        <v>1</v>
      </c>
      <c r="M160" s="171">
        <f t="shared" si="7"/>
        <v>0.32</v>
      </c>
      <c r="N160" s="398"/>
      <c r="O160" s="398"/>
      <c r="P160" s="398"/>
      <c r="Q160" s="398"/>
      <c r="R160" s="398"/>
      <c r="S160" s="398"/>
      <c r="T160" s="398"/>
      <c r="U160" s="398"/>
      <c r="V160" s="398"/>
      <c r="W160" s="398"/>
      <c r="X160" s="398"/>
      <c r="Y160" s="398"/>
      <c r="Z160" s="398"/>
      <c r="AA160" s="398"/>
      <c r="AB160" s="398"/>
      <c r="AC160" s="398"/>
      <c r="AD160" s="398"/>
      <c r="AE160" s="398"/>
      <c r="AF160" s="398"/>
      <c r="AG160" s="398"/>
      <c r="AH160" s="398"/>
      <c r="AI160" s="398"/>
    </row>
    <row r="161" spans="1:35" s="54" customFormat="1" outlineLevel="1">
      <c r="A161" s="398"/>
      <c r="B161" s="359" t="s">
        <v>1086</v>
      </c>
      <c r="C161" s="107" t="s">
        <v>1087</v>
      </c>
      <c r="D161" s="181" t="str">
        <f t="shared" si="10"/>
        <v>W Eur</v>
      </c>
      <c r="E161" s="154">
        <v>0.29409999999999997</v>
      </c>
      <c r="F161" s="340">
        <v>1.4395232604189647</v>
      </c>
      <c r="G161" s="171">
        <v>1.1265002157962882</v>
      </c>
      <c r="H161" s="154">
        <f t="shared" si="11"/>
        <v>1.1138501942166594</v>
      </c>
      <c r="I161" s="154">
        <f t="shared" si="11"/>
        <v>1.1012001726370306</v>
      </c>
      <c r="J161" s="154">
        <f t="shared" si="11"/>
        <v>1.0948751618472161</v>
      </c>
      <c r="K161" s="61">
        <v>1443</v>
      </c>
      <c r="L161" s="171">
        <f t="shared" si="6"/>
        <v>1</v>
      </c>
      <c r="M161" s="171">
        <f t="shared" si="7"/>
        <v>0.32</v>
      </c>
      <c r="N161" s="398"/>
      <c r="O161" s="398"/>
      <c r="P161" s="398"/>
      <c r="Q161" s="398"/>
      <c r="R161" s="398"/>
      <c r="S161" s="398"/>
      <c r="T161" s="398"/>
      <c r="U161" s="398"/>
      <c r="V161" s="398"/>
      <c r="W161" s="398"/>
      <c r="X161" s="398"/>
      <c r="Y161" s="398"/>
      <c r="Z161" s="398"/>
      <c r="AA161" s="398"/>
      <c r="AB161" s="398"/>
      <c r="AC161" s="398"/>
      <c r="AD161" s="398"/>
      <c r="AE161" s="398"/>
      <c r="AF161" s="398"/>
      <c r="AG161" s="398"/>
      <c r="AH161" s="398"/>
      <c r="AI161" s="398"/>
    </row>
    <row r="162" spans="1:35" s="54" customFormat="1" outlineLevel="1">
      <c r="A162" s="398"/>
      <c r="B162" s="359" t="s">
        <v>1088</v>
      </c>
      <c r="C162" s="107" t="s">
        <v>1089</v>
      </c>
      <c r="D162" s="181" t="str">
        <f t="shared" si="10"/>
        <v>W Eur</v>
      </c>
      <c r="E162" s="154">
        <v>0.24</v>
      </c>
      <c r="F162" s="340">
        <v>1.4395232604189647</v>
      </c>
      <c r="G162" s="171">
        <v>0.65</v>
      </c>
      <c r="H162" s="154">
        <f t="shared" si="11"/>
        <v>0.68500000000000005</v>
      </c>
      <c r="I162" s="154">
        <f t="shared" si="11"/>
        <v>0.72</v>
      </c>
      <c r="J162" s="154">
        <f t="shared" si="11"/>
        <v>0.73750000000000004</v>
      </c>
      <c r="K162" s="61">
        <v>1500</v>
      </c>
      <c r="L162" s="171">
        <f t="shared" si="6"/>
        <v>1</v>
      </c>
      <c r="M162" s="171">
        <f t="shared" si="7"/>
        <v>0.32</v>
      </c>
      <c r="N162" s="398"/>
      <c r="O162" s="398"/>
      <c r="P162" s="398"/>
      <c r="Q162" s="398"/>
      <c r="R162" s="398"/>
      <c r="S162" s="398"/>
      <c r="T162" s="398"/>
      <c r="U162" s="398"/>
      <c r="V162" s="398"/>
      <c r="W162" s="398"/>
      <c r="X162" s="398"/>
      <c r="Y162" s="398"/>
      <c r="Z162" s="398"/>
      <c r="AA162" s="398"/>
      <c r="AB162" s="398"/>
      <c r="AC162" s="398"/>
      <c r="AD162" s="398"/>
      <c r="AE162" s="398"/>
      <c r="AF162" s="398"/>
      <c r="AG162" s="398"/>
      <c r="AH162" s="398"/>
      <c r="AI162" s="398"/>
    </row>
    <row r="163" spans="1:35" s="54" customFormat="1" outlineLevel="1">
      <c r="A163" s="398"/>
      <c r="B163" s="359" t="s">
        <v>1090</v>
      </c>
      <c r="C163" s="107" t="s">
        <v>1091</v>
      </c>
      <c r="D163" s="181" t="str">
        <f t="shared" si="10"/>
        <v>W Eur</v>
      </c>
      <c r="E163" s="154">
        <v>0.314</v>
      </c>
      <c r="F163" s="340">
        <v>1.4395232604189647</v>
      </c>
      <c r="G163" s="171">
        <v>0.80495079844626671</v>
      </c>
      <c r="H163" s="154">
        <f t="shared" si="11"/>
        <v>0.82445571860164002</v>
      </c>
      <c r="I163" s="154">
        <f t="shared" si="11"/>
        <v>0.84396063875701333</v>
      </c>
      <c r="J163" s="154">
        <f t="shared" si="11"/>
        <v>0.85371309883470003</v>
      </c>
      <c r="K163" s="61">
        <v>1585</v>
      </c>
      <c r="L163" s="171">
        <f t="shared" si="6"/>
        <v>1</v>
      </c>
      <c r="M163" s="171">
        <f t="shared" si="7"/>
        <v>0.32</v>
      </c>
      <c r="N163" s="398"/>
      <c r="O163" s="398"/>
      <c r="P163" s="398"/>
      <c r="Q163" s="398"/>
      <c r="R163" s="398"/>
      <c r="S163" s="398"/>
      <c r="T163" s="398"/>
      <c r="U163" s="398"/>
      <c r="V163" s="398"/>
      <c r="W163" s="398"/>
      <c r="X163" s="398"/>
      <c r="Y163" s="398"/>
      <c r="Z163" s="398"/>
      <c r="AA163" s="398"/>
      <c r="AB163" s="398"/>
      <c r="AC163" s="398"/>
      <c r="AD163" s="398"/>
      <c r="AE163" s="398"/>
      <c r="AF163" s="398"/>
      <c r="AG163" s="398"/>
      <c r="AH163" s="398"/>
      <c r="AI163" s="398"/>
    </row>
    <row r="164" spans="1:35" s="54" customFormat="1" outlineLevel="1">
      <c r="A164" s="398"/>
      <c r="B164" s="359" t="s">
        <v>1092</v>
      </c>
      <c r="C164" s="107" t="s">
        <v>1093</v>
      </c>
      <c r="D164" s="181" t="str">
        <f t="shared" si="10"/>
        <v>W Eur</v>
      </c>
      <c r="E164" s="154">
        <v>0.255</v>
      </c>
      <c r="F164" s="340">
        <v>1.4395232604189647</v>
      </c>
      <c r="G164" s="171">
        <v>0.84149999999999991</v>
      </c>
      <c r="H164" s="154">
        <f t="shared" si="11"/>
        <v>0.85734999999999995</v>
      </c>
      <c r="I164" s="154">
        <f t="shared" si="11"/>
        <v>0.87319999999999998</v>
      </c>
      <c r="J164" s="154">
        <f t="shared" si="11"/>
        <v>0.88112499999999994</v>
      </c>
      <c r="K164" s="61">
        <v>1357</v>
      </c>
      <c r="L164" s="171">
        <f t="shared" si="6"/>
        <v>1</v>
      </c>
      <c r="M164" s="171">
        <f t="shared" si="7"/>
        <v>0.32</v>
      </c>
      <c r="N164" s="398"/>
      <c r="O164" s="398"/>
      <c r="P164" s="398"/>
      <c r="Q164" s="398"/>
      <c r="R164" s="398"/>
      <c r="S164" s="398"/>
      <c r="T164" s="398"/>
      <c r="U164" s="398"/>
      <c r="V164" s="398"/>
      <c r="W164" s="398"/>
      <c r="X164" s="398"/>
      <c r="Y164" s="398"/>
      <c r="Z164" s="398"/>
      <c r="AA164" s="398"/>
      <c r="AB164" s="398"/>
      <c r="AC164" s="398"/>
      <c r="AD164" s="398"/>
      <c r="AE164" s="398"/>
      <c r="AF164" s="398"/>
      <c r="AG164" s="398"/>
      <c r="AH164" s="398"/>
      <c r="AI164" s="398"/>
    </row>
    <row r="165" spans="1:35" s="54" customFormat="1" outlineLevel="1">
      <c r="A165" s="398"/>
      <c r="B165" s="359" t="s">
        <v>1094</v>
      </c>
      <c r="C165" s="107" t="s">
        <v>1095</v>
      </c>
      <c r="D165" s="181" t="str">
        <f t="shared" si="10"/>
        <v>W Eur</v>
      </c>
      <c r="E165" s="154">
        <v>0.28000000000000003</v>
      </c>
      <c r="F165" s="340">
        <v>1.4395232604189647</v>
      </c>
      <c r="G165" s="171">
        <v>0.94599999999999995</v>
      </c>
      <c r="H165" s="154">
        <f t="shared" si="11"/>
        <v>0.95139999999999991</v>
      </c>
      <c r="I165" s="154">
        <f t="shared" si="11"/>
        <v>0.95679999999999998</v>
      </c>
      <c r="J165" s="154">
        <f t="shared" si="11"/>
        <v>0.95950000000000002</v>
      </c>
      <c r="K165" s="61">
        <v>1363</v>
      </c>
      <c r="L165" s="171">
        <f t="shared" si="6"/>
        <v>1</v>
      </c>
      <c r="M165" s="171">
        <f t="shared" si="7"/>
        <v>0.32</v>
      </c>
      <c r="N165" s="398"/>
      <c r="O165" s="398"/>
      <c r="P165" s="398"/>
      <c r="Q165" s="398"/>
      <c r="R165" s="398"/>
      <c r="S165" s="398"/>
      <c r="T165" s="398"/>
      <c r="U165" s="398"/>
      <c r="V165" s="398"/>
      <c r="W165" s="398"/>
      <c r="X165" s="398"/>
      <c r="Y165" s="398"/>
      <c r="Z165" s="398"/>
      <c r="AA165" s="398"/>
      <c r="AB165" s="398"/>
      <c r="AC165" s="398"/>
      <c r="AD165" s="398"/>
      <c r="AE165" s="398"/>
      <c r="AF165" s="398"/>
      <c r="AG165" s="398"/>
      <c r="AH165" s="398"/>
      <c r="AI165" s="398"/>
    </row>
    <row r="166" spans="1:35" s="54" customFormat="1" outlineLevel="1">
      <c r="A166" s="398"/>
      <c r="B166" s="359" t="s">
        <v>1096</v>
      </c>
      <c r="C166" s="107" t="s">
        <v>1097</v>
      </c>
      <c r="D166" s="181" t="str">
        <f t="shared" si="10"/>
        <v>W Eur</v>
      </c>
      <c r="E166" s="154">
        <v>0.3</v>
      </c>
      <c r="F166" s="340">
        <v>1.4395232604189647</v>
      </c>
      <c r="G166" s="171">
        <v>0.73802330599913679</v>
      </c>
      <c r="H166" s="154">
        <f t="shared" si="11"/>
        <v>0.76422097539922307</v>
      </c>
      <c r="I166" s="154">
        <f t="shared" si="11"/>
        <v>0.79041864479930946</v>
      </c>
      <c r="J166" s="154">
        <f t="shared" si="11"/>
        <v>0.80351747949935259</v>
      </c>
      <c r="K166" s="61">
        <v>1799</v>
      </c>
      <c r="L166" s="171">
        <f t="shared" si="6"/>
        <v>1</v>
      </c>
      <c r="M166" s="171">
        <f t="shared" si="7"/>
        <v>0.32</v>
      </c>
      <c r="N166" s="398"/>
      <c r="O166" s="398"/>
      <c r="P166" s="398"/>
      <c r="Q166" s="398"/>
      <c r="R166" s="398"/>
      <c r="S166" s="398"/>
      <c r="T166" s="398"/>
      <c r="U166" s="398"/>
      <c r="V166" s="398"/>
      <c r="W166" s="398"/>
      <c r="X166" s="398"/>
      <c r="Y166" s="398"/>
      <c r="Z166" s="398"/>
      <c r="AA166" s="398"/>
      <c r="AB166" s="398"/>
      <c r="AC166" s="398"/>
      <c r="AD166" s="398"/>
      <c r="AE166" s="398"/>
      <c r="AF166" s="398"/>
      <c r="AG166" s="398"/>
      <c r="AH166" s="398"/>
      <c r="AI166" s="398"/>
    </row>
    <row r="167" spans="1:35" s="54" customFormat="1" outlineLevel="1">
      <c r="A167" s="398"/>
      <c r="B167" s="359" t="s">
        <v>1098</v>
      </c>
      <c r="C167" s="107" t="s">
        <v>1099</v>
      </c>
      <c r="D167" s="181" t="str">
        <f t="shared" si="10"/>
        <v>W Eur</v>
      </c>
      <c r="E167" s="154">
        <v>0.26300000000000001</v>
      </c>
      <c r="F167" s="340">
        <v>1.4395232604189647</v>
      </c>
      <c r="G167" s="171">
        <v>0.78200000000000003</v>
      </c>
      <c r="H167" s="154">
        <f t="shared" si="11"/>
        <v>0.80380000000000007</v>
      </c>
      <c r="I167" s="154">
        <f t="shared" si="11"/>
        <v>0.8256</v>
      </c>
      <c r="J167" s="154">
        <f t="shared" si="11"/>
        <v>0.83650000000000002</v>
      </c>
      <c r="K167" s="61">
        <v>1585</v>
      </c>
      <c r="L167" s="171">
        <f t="shared" si="6"/>
        <v>1</v>
      </c>
      <c r="M167" s="171">
        <f t="shared" si="7"/>
        <v>0.32</v>
      </c>
      <c r="N167" s="398"/>
      <c r="O167" s="398"/>
      <c r="P167" s="398"/>
      <c r="Q167" s="398"/>
      <c r="R167" s="398"/>
      <c r="S167" s="398"/>
      <c r="T167" s="398"/>
      <c r="U167" s="398"/>
      <c r="V167" s="398"/>
      <c r="W167" s="398"/>
      <c r="X167" s="398"/>
      <c r="Y167" s="398"/>
      <c r="Z167" s="398"/>
      <c r="AA167" s="398"/>
      <c r="AB167" s="398"/>
      <c r="AC167" s="398"/>
      <c r="AD167" s="398"/>
      <c r="AE167" s="398"/>
      <c r="AF167" s="398"/>
      <c r="AG167" s="398"/>
      <c r="AH167" s="398"/>
      <c r="AI167" s="398"/>
    </row>
    <row r="168" spans="1:35" s="54" customFormat="1" outlineLevel="1">
      <c r="A168" s="398"/>
      <c r="B168" s="359" t="s">
        <v>1100</v>
      </c>
      <c r="C168" s="107" t="s">
        <v>1101</v>
      </c>
      <c r="D168" s="181" t="str">
        <f t="shared" si="10"/>
        <v>W Eur</v>
      </c>
      <c r="E168" s="154">
        <v>0.2117</v>
      </c>
      <c r="F168" s="340">
        <v>1.4395232604189647</v>
      </c>
      <c r="G168" s="171">
        <f>G156</f>
        <v>0.9193811681772408</v>
      </c>
      <c r="H168" s="154">
        <f t="shared" si="11"/>
        <v>0.92744305135951677</v>
      </c>
      <c r="I168" s="154">
        <f t="shared" si="11"/>
        <v>0.93550493454179262</v>
      </c>
      <c r="J168" s="154">
        <f t="shared" si="11"/>
        <v>0.93953587613293066</v>
      </c>
      <c r="K168" s="61">
        <v>1500</v>
      </c>
      <c r="L168" s="171">
        <f t="shared" si="6"/>
        <v>1</v>
      </c>
      <c r="M168" s="171">
        <f t="shared" si="7"/>
        <v>0.32</v>
      </c>
      <c r="N168" s="398"/>
      <c r="O168" s="398"/>
      <c r="P168" s="398"/>
      <c r="Q168" s="398"/>
      <c r="R168" s="398"/>
      <c r="S168" s="398"/>
      <c r="T168" s="398"/>
      <c r="U168" s="398"/>
      <c r="V168" s="398"/>
      <c r="W168" s="398"/>
      <c r="X168" s="398"/>
      <c r="Y168" s="398"/>
      <c r="Z168" s="398"/>
      <c r="AA168" s="398"/>
      <c r="AB168" s="398"/>
      <c r="AC168" s="398"/>
      <c r="AD168" s="398"/>
      <c r="AE168" s="398"/>
      <c r="AF168" s="398"/>
      <c r="AG168" s="398"/>
      <c r="AH168" s="398"/>
      <c r="AI168" s="398"/>
    </row>
    <row r="169" spans="1:35" s="54" customFormat="1" ht="13.5" outlineLevel="1" thickBot="1">
      <c r="A169" s="398"/>
      <c r="B169" s="359" t="s">
        <v>1102</v>
      </c>
      <c r="C169" s="107" t="s">
        <v>999</v>
      </c>
      <c r="D169" s="181" t="str">
        <f>C169</f>
        <v>UK</v>
      </c>
      <c r="E169" s="154">
        <v>0.28000000000000003</v>
      </c>
      <c r="F169" s="340">
        <v>1.385195535022739</v>
      </c>
      <c r="G169" s="171">
        <v>0.94100000000000006</v>
      </c>
      <c r="H169" s="154">
        <f t="shared" si="11"/>
        <v>0.94690000000000007</v>
      </c>
      <c r="I169" s="154">
        <f t="shared" si="11"/>
        <v>0.95280000000000009</v>
      </c>
      <c r="J169" s="154">
        <f t="shared" si="11"/>
        <v>0.9557500000000001</v>
      </c>
      <c r="K169" s="61">
        <v>1669</v>
      </c>
      <c r="L169" s="171">
        <f t="shared" si="6"/>
        <v>1</v>
      </c>
      <c r="M169" s="171">
        <f t="shared" si="7"/>
        <v>0.32</v>
      </c>
      <c r="N169" s="398"/>
      <c r="O169" s="398"/>
      <c r="P169" s="398"/>
      <c r="Q169" s="398"/>
      <c r="R169" s="398"/>
      <c r="S169" s="398"/>
      <c r="T169" s="398"/>
      <c r="U169" s="398"/>
      <c r="V169" s="398"/>
      <c r="W169" s="398"/>
      <c r="X169" s="398"/>
      <c r="Y169" s="398"/>
      <c r="Z169" s="398"/>
      <c r="AA169" s="398"/>
      <c r="AB169" s="398"/>
      <c r="AC169" s="398"/>
      <c r="AD169" s="398"/>
      <c r="AE169" s="398"/>
      <c r="AF169" s="398"/>
      <c r="AG169" s="398"/>
      <c r="AH169" s="398"/>
      <c r="AI169" s="398"/>
    </row>
    <row r="170" spans="1:35" s="54" customFormat="1" ht="14.25" outlineLevel="1" thickTop="1" thickBot="1">
      <c r="A170" s="398"/>
      <c r="B170" s="283" t="str">
        <f>Country</f>
        <v>NORTH AMERICA - United States</v>
      </c>
      <c r="C170" s="360" t="str">
        <f t="shared" ref="C170:M170" si="12">INDEX(C119:C169,$C$171)</f>
        <v>US</v>
      </c>
      <c r="D170" s="360" t="str">
        <f>INDEX(D119:D169,$C$171)</f>
        <v>US</v>
      </c>
      <c r="E170" s="179">
        <f t="shared" si="12"/>
        <v>0.4</v>
      </c>
      <c r="F170" s="179">
        <f t="shared" si="12"/>
        <v>1</v>
      </c>
      <c r="G170" s="179">
        <f t="shared" si="12"/>
        <v>1</v>
      </c>
      <c r="H170" s="179">
        <f t="shared" si="12"/>
        <v>1</v>
      </c>
      <c r="I170" s="179">
        <f t="shared" si="12"/>
        <v>1</v>
      </c>
      <c r="J170" s="179">
        <f t="shared" si="12"/>
        <v>1</v>
      </c>
      <c r="K170" s="62">
        <f t="shared" si="12"/>
        <v>1824</v>
      </c>
      <c r="L170" s="179">
        <f t="shared" si="12"/>
        <v>1</v>
      </c>
      <c r="M170" s="179">
        <f t="shared" si="12"/>
        <v>0.32</v>
      </c>
      <c r="N170" s="398"/>
      <c r="O170" s="398"/>
      <c r="P170" s="398"/>
      <c r="Q170" s="398"/>
      <c r="R170" s="398"/>
      <c r="S170" s="398"/>
      <c r="T170" s="398"/>
      <c r="U170" s="398"/>
      <c r="V170" s="398"/>
      <c r="W170" s="398"/>
      <c r="X170" s="398"/>
      <c r="Y170" s="398"/>
      <c r="Z170" s="398"/>
      <c r="AA170" s="398"/>
      <c r="AB170" s="398"/>
      <c r="AC170" s="398"/>
      <c r="AD170" s="398"/>
      <c r="AE170" s="398"/>
      <c r="AF170" s="398"/>
      <c r="AG170" s="398"/>
      <c r="AH170" s="398"/>
      <c r="AI170" s="398"/>
    </row>
    <row r="171" spans="1:35" s="54" customFormat="1" ht="13.5" outlineLevel="1" thickTop="1">
      <c r="A171" s="398"/>
      <c r="B171" s="283" t="s">
        <v>1000</v>
      </c>
      <c r="C171" s="283">
        <f>MATCH(B170,$B$119:$B$169,0)</f>
        <v>37</v>
      </c>
      <c r="D171" s="398"/>
      <c r="E171" s="398" t="s">
        <v>1103</v>
      </c>
      <c r="F171" s="398"/>
      <c r="G171" s="361" t="s">
        <v>1104</v>
      </c>
      <c r="H171" s="362">
        <v>0.1</v>
      </c>
      <c r="I171" s="362">
        <v>0.2</v>
      </c>
      <c r="J171" s="362">
        <v>0.25</v>
      </c>
      <c r="K171" s="398"/>
      <c r="L171" s="398"/>
      <c r="M171" s="398"/>
      <c r="N171" s="398"/>
      <c r="O171" s="398"/>
      <c r="P171" s="398"/>
      <c r="Q171" s="398"/>
      <c r="R171" s="398"/>
      <c r="S171" s="398"/>
      <c r="T171" s="398"/>
      <c r="U171" s="398"/>
      <c r="V171" s="398"/>
      <c r="W171" s="398"/>
      <c r="X171" s="398"/>
      <c r="Y171" s="398"/>
      <c r="Z171" s="398"/>
      <c r="AA171" s="398"/>
      <c r="AB171" s="398"/>
      <c r="AC171" s="398"/>
      <c r="AD171" s="398"/>
      <c r="AE171" s="398"/>
      <c r="AF171" s="398"/>
      <c r="AG171" s="398"/>
      <c r="AH171" s="398"/>
      <c r="AI171" s="398"/>
    </row>
    <row r="172" spans="1:35" s="59" customFormat="1" outlineLevel="1">
      <c r="A172" s="398"/>
      <c r="B172" s="398"/>
      <c r="C172" s="398"/>
      <c r="D172" s="398"/>
      <c r="E172" s="398"/>
      <c r="F172" s="398"/>
      <c r="G172" s="361" t="s">
        <v>1105</v>
      </c>
      <c r="H172" s="362">
        <v>1</v>
      </c>
      <c r="I172" s="362">
        <v>1</v>
      </c>
      <c r="J172" s="362">
        <v>1</v>
      </c>
      <c r="K172" s="398"/>
      <c r="L172" s="398"/>
      <c r="M172" s="398"/>
      <c r="N172" s="398"/>
      <c r="O172" s="398"/>
      <c r="P172" s="398"/>
      <c r="Q172" s="398"/>
      <c r="R172" s="398"/>
      <c r="S172" s="398"/>
      <c r="T172" s="398"/>
      <c r="U172" s="398"/>
      <c r="V172" s="398"/>
      <c r="W172" s="398"/>
      <c r="X172" s="398"/>
      <c r="Y172" s="398"/>
      <c r="Z172" s="398"/>
      <c r="AA172" s="398"/>
      <c r="AB172" s="398"/>
      <c r="AC172" s="398"/>
      <c r="AD172" s="398"/>
      <c r="AE172" s="398"/>
      <c r="AF172" s="398"/>
      <c r="AG172" s="398"/>
      <c r="AH172" s="398"/>
      <c r="AI172" s="398"/>
    </row>
    <row r="173" spans="1:35" outlineLevel="1">
      <c r="A173" s="398"/>
      <c r="B173" s="77" t="s">
        <v>1106</v>
      </c>
      <c r="C173" s="398"/>
      <c r="D173" s="398"/>
      <c r="E173" s="398"/>
      <c r="F173" s="398"/>
      <c r="G173" s="398"/>
      <c r="H173" s="398"/>
      <c r="I173" s="398"/>
      <c r="J173" s="398"/>
      <c r="K173" s="398"/>
      <c r="L173" s="398"/>
      <c r="M173" s="398"/>
      <c r="N173" s="398"/>
      <c r="O173" s="398"/>
      <c r="P173" s="398"/>
      <c r="Q173" s="398"/>
      <c r="R173" s="398"/>
      <c r="S173" s="398"/>
      <c r="T173" s="398"/>
      <c r="U173" s="398"/>
      <c r="V173" s="398"/>
      <c r="W173" s="398"/>
      <c r="X173" s="398"/>
      <c r="Y173" s="398"/>
      <c r="Z173" s="398"/>
      <c r="AA173" s="398"/>
      <c r="AB173" s="398"/>
      <c r="AC173" s="398"/>
      <c r="AD173" s="398"/>
      <c r="AE173" s="398"/>
      <c r="AF173" s="398"/>
      <c r="AG173" s="398"/>
      <c r="AH173" s="398"/>
      <c r="AI173" s="398"/>
    </row>
    <row r="174" spans="1:35" s="54" customFormat="1" outlineLevel="1">
      <c r="A174" s="398"/>
      <c r="B174" s="77"/>
      <c r="C174" s="398"/>
      <c r="D174" s="398"/>
      <c r="E174" s="398"/>
      <c r="F174" s="398"/>
      <c r="G174" s="398"/>
      <c r="H174" s="398"/>
      <c r="I174" s="398"/>
      <c r="J174" s="398"/>
      <c r="K174" s="398"/>
      <c r="L174" s="398"/>
      <c r="M174" s="398"/>
      <c r="N174" s="398"/>
      <c r="O174" s="398"/>
      <c r="P174" s="398"/>
      <c r="Q174" s="398"/>
      <c r="R174" s="398"/>
      <c r="S174" s="398"/>
      <c r="T174" s="398"/>
      <c r="U174" s="398"/>
      <c r="V174" s="398"/>
      <c r="W174" s="398"/>
      <c r="X174" s="398"/>
      <c r="Y174" s="398"/>
      <c r="Z174" s="398"/>
      <c r="AA174" s="398"/>
      <c r="AB174" s="398"/>
      <c r="AC174" s="398"/>
      <c r="AD174" s="398"/>
      <c r="AE174" s="398"/>
      <c r="AF174" s="398"/>
      <c r="AG174" s="398"/>
      <c r="AH174" s="398"/>
      <c r="AI174" s="398"/>
    </row>
    <row r="175" spans="1:35" s="54" customFormat="1" ht="25.5" outlineLevel="1">
      <c r="A175" s="398"/>
      <c r="B175" s="77"/>
      <c r="C175" s="381" t="s">
        <v>1107</v>
      </c>
      <c r="D175" s="381" t="s">
        <v>1108</v>
      </c>
      <c r="E175" s="381" t="s">
        <v>1109</v>
      </c>
      <c r="F175" s="381" t="s">
        <v>1110</v>
      </c>
      <c r="G175" s="381" t="s">
        <v>1111</v>
      </c>
      <c r="H175" s="381" t="s">
        <v>1112</v>
      </c>
      <c r="I175" s="398"/>
      <c r="J175" s="398"/>
      <c r="K175" s="398"/>
      <c r="L175" s="398"/>
      <c r="M175" s="398"/>
      <c r="N175" s="398"/>
      <c r="O175" s="398"/>
      <c r="P175" s="398"/>
      <c r="Q175" s="398"/>
      <c r="R175" s="398"/>
      <c r="S175" s="398"/>
      <c r="T175" s="398"/>
      <c r="U175" s="398"/>
      <c r="V175" s="398"/>
      <c r="W175" s="398"/>
      <c r="X175" s="398"/>
      <c r="Y175" s="398"/>
      <c r="Z175" s="398"/>
      <c r="AA175" s="398"/>
      <c r="AB175" s="398"/>
      <c r="AC175" s="398"/>
      <c r="AD175" s="398"/>
      <c r="AE175" s="398"/>
      <c r="AF175" s="398"/>
      <c r="AG175" s="398"/>
      <c r="AH175" s="398"/>
      <c r="AI175" s="398"/>
    </row>
    <row r="176" spans="1:35" s="54" customFormat="1" outlineLevel="1">
      <c r="A176" s="398"/>
      <c r="B176" s="700" t="s">
        <v>1113</v>
      </c>
      <c r="C176" s="154">
        <f>M170</f>
        <v>0.32</v>
      </c>
      <c r="D176" s="363">
        <v>1</v>
      </c>
      <c r="E176" s="398"/>
      <c r="F176" s="398"/>
      <c r="G176" s="398"/>
      <c r="H176" s="154">
        <f>D176*C176</f>
        <v>0.32</v>
      </c>
      <c r="I176" s="398"/>
      <c r="J176" s="398"/>
      <c r="K176" s="398"/>
      <c r="L176" s="398"/>
      <c r="M176" s="398"/>
      <c r="N176" s="398"/>
      <c r="O176" s="398"/>
      <c r="P176" s="398"/>
      <c r="Q176" s="398"/>
      <c r="R176" s="398"/>
      <c r="S176" s="398"/>
      <c r="T176" s="398"/>
      <c r="U176" s="398"/>
      <c r="V176" s="398"/>
      <c r="W176" s="398"/>
      <c r="X176" s="398"/>
      <c r="Y176" s="398"/>
      <c r="Z176" s="398"/>
      <c r="AA176" s="398"/>
      <c r="AB176" s="398"/>
      <c r="AC176" s="398"/>
      <c r="AD176" s="398"/>
      <c r="AE176" s="398"/>
      <c r="AF176" s="398"/>
      <c r="AG176" s="398"/>
      <c r="AH176" s="398"/>
      <c r="AI176" s="398"/>
    </row>
    <row r="177" spans="1:35" s="59" customFormat="1" outlineLevel="1">
      <c r="A177" s="398"/>
      <c r="B177" s="700" t="s">
        <v>1114</v>
      </c>
      <c r="C177" s="280">
        <f>K170</f>
        <v>1824</v>
      </c>
      <c r="D177" s="363">
        <v>1</v>
      </c>
      <c r="E177" s="398"/>
      <c r="F177" s="398"/>
      <c r="G177" s="398"/>
      <c r="H177" s="280">
        <f>D177*C177</f>
        <v>1824</v>
      </c>
      <c r="I177" s="398"/>
      <c r="J177" s="398"/>
      <c r="K177" s="398"/>
      <c r="L177" s="398"/>
      <c r="M177" s="398"/>
      <c r="N177" s="398"/>
      <c r="O177" s="398"/>
      <c r="P177" s="398"/>
      <c r="Q177" s="398"/>
      <c r="R177" s="398"/>
      <c r="S177" s="398"/>
      <c r="T177" s="398"/>
      <c r="U177" s="398"/>
      <c r="V177" s="398"/>
      <c r="W177" s="398"/>
      <c r="X177" s="398"/>
      <c r="Y177" s="398"/>
      <c r="Z177" s="398"/>
      <c r="AA177" s="398"/>
      <c r="AB177" s="398"/>
      <c r="AC177" s="398"/>
      <c r="AD177" s="398"/>
      <c r="AE177" s="398"/>
      <c r="AF177" s="398"/>
      <c r="AG177" s="398"/>
      <c r="AH177" s="398"/>
      <c r="AI177" s="398"/>
    </row>
    <row r="178" spans="1:35" s="59" customFormat="1" outlineLevel="1">
      <c r="A178" s="398"/>
      <c r="B178" s="398"/>
      <c r="C178" s="364"/>
      <c r="D178" s="398"/>
      <c r="E178" s="398"/>
      <c r="F178" s="398"/>
      <c r="G178" s="398"/>
      <c r="H178" s="398"/>
      <c r="I178" s="398"/>
      <c r="J178" s="398"/>
      <c r="K178" s="398"/>
      <c r="L178" s="398"/>
      <c r="M178" s="398"/>
      <c r="N178" s="398"/>
      <c r="O178" s="398"/>
      <c r="P178" s="398"/>
      <c r="Q178" s="398"/>
      <c r="R178" s="398"/>
      <c r="S178" s="398"/>
      <c r="T178" s="398"/>
      <c r="U178" s="398"/>
      <c r="V178" s="398"/>
      <c r="W178" s="398"/>
      <c r="X178" s="398"/>
      <c r="Y178" s="398"/>
      <c r="Z178" s="398"/>
      <c r="AA178" s="398"/>
      <c r="AB178" s="398"/>
      <c r="AC178" s="398"/>
      <c r="AD178" s="398"/>
      <c r="AE178" s="398"/>
      <c r="AF178" s="398"/>
      <c r="AG178" s="398"/>
      <c r="AH178" s="398"/>
      <c r="AI178" s="398"/>
    </row>
    <row r="179" spans="1:35" s="75" customFormat="1" ht="22.5">
      <c r="A179" s="3" t="s">
        <v>136</v>
      </c>
      <c r="B179" s="398"/>
      <c r="C179" s="364"/>
      <c r="D179" s="398"/>
      <c r="E179" s="398"/>
      <c r="F179" s="398"/>
      <c r="G179" s="398"/>
      <c r="H179" s="398"/>
      <c r="I179" s="398"/>
      <c r="J179" s="398"/>
      <c r="K179" s="398"/>
      <c r="L179" s="398"/>
      <c r="M179" s="398"/>
      <c r="N179" s="398"/>
      <c r="O179" s="398"/>
      <c r="P179" s="398"/>
      <c r="Q179" s="398"/>
      <c r="R179" s="398"/>
      <c r="S179" s="398"/>
      <c r="T179" s="398"/>
      <c r="U179" s="398"/>
      <c r="V179" s="398"/>
      <c r="W179" s="398"/>
      <c r="X179" s="398"/>
      <c r="Y179" s="398"/>
      <c r="Z179" s="398"/>
      <c r="AA179" s="398"/>
      <c r="AB179" s="398"/>
      <c r="AC179" s="398"/>
      <c r="AD179" s="398"/>
      <c r="AE179" s="398"/>
      <c r="AF179" s="398"/>
      <c r="AG179" s="398"/>
      <c r="AH179" s="398"/>
      <c r="AI179" s="398"/>
    </row>
    <row r="180" spans="1:35" s="59" customFormat="1" ht="15" outlineLevel="1">
      <c r="A180" s="6" t="s">
        <v>892</v>
      </c>
      <c r="B180" s="398"/>
      <c r="C180" s="398"/>
      <c r="D180" s="398"/>
      <c r="E180" s="398"/>
      <c r="F180" s="398"/>
      <c r="G180" s="398"/>
      <c r="H180" s="398"/>
      <c r="I180" s="398"/>
      <c r="J180" s="398"/>
      <c r="K180" s="398"/>
      <c r="L180" s="398"/>
      <c r="M180" s="398"/>
      <c r="N180" s="398"/>
      <c r="O180" s="398"/>
      <c r="P180" s="398"/>
      <c r="Q180" s="398"/>
      <c r="R180" s="398"/>
      <c r="S180" s="398"/>
      <c r="T180" s="398"/>
      <c r="U180" s="398"/>
      <c r="V180" s="398"/>
      <c r="W180" s="398"/>
      <c r="X180" s="398"/>
      <c r="Y180" s="398"/>
      <c r="Z180" s="398"/>
      <c r="AA180" s="398"/>
      <c r="AB180" s="398"/>
      <c r="AC180" s="398"/>
      <c r="AD180" s="398"/>
      <c r="AE180" s="398"/>
      <c r="AF180" s="398"/>
      <c r="AG180" s="398"/>
      <c r="AH180" s="398"/>
      <c r="AI180" s="398"/>
    </row>
    <row r="181" spans="1:35" s="59" customFormat="1" ht="25.5" outlineLevel="1">
      <c r="A181" s="398"/>
      <c r="B181" s="381" t="s">
        <v>1115</v>
      </c>
      <c r="C181" s="381" t="s">
        <v>1116</v>
      </c>
      <c r="D181" s="398"/>
      <c r="E181" s="398"/>
      <c r="F181" s="398"/>
      <c r="G181" s="398"/>
      <c r="H181" s="398"/>
      <c r="I181" s="398"/>
      <c r="J181" s="398"/>
      <c r="K181" s="398"/>
      <c r="L181" s="398"/>
      <c r="M181" s="398"/>
      <c r="N181" s="398"/>
      <c r="O181" s="398"/>
      <c r="P181" s="398"/>
      <c r="Q181" s="398"/>
      <c r="R181" s="398"/>
      <c r="S181" s="398"/>
      <c r="T181" s="398"/>
      <c r="U181" s="398"/>
      <c r="V181" s="398"/>
      <c r="W181" s="398"/>
      <c r="X181" s="398"/>
      <c r="Y181" s="398"/>
      <c r="Z181" s="398"/>
      <c r="AA181" s="398"/>
      <c r="AB181" s="398"/>
      <c r="AC181" s="398"/>
      <c r="AD181" s="398"/>
      <c r="AE181" s="398"/>
      <c r="AF181" s="398"/>
      <c r="AG181" s="398"/>
      <c r="AH181" s="398"/>
      <c r="AI181" s="398"/>
    </row>
    <row r="182" spans="1:35" s="59" customFormat="1" outlineLevel="1">
      <c r="A182" s="398"/>
      <c r="B182" s="700" t="s">
        <v>1108</v>
      </c>
      <c r="C182" s="398"/>
      <c r="D182" s="398"/>
      <c r="E182" s="398"/>
      <c r="F182" s="398"/>
      <c r="G182" s="398"/>
      <c r="H182" s="398"/>
      <c r="I182" s="398"/>
      <c r="J182" s="398"/>
      <c r="K182" s="398"/>
      <c r="L182" s="398"/>
      <c r="M182" s="398"/>
      <c r="N182" s="398"/>
      <c r="O182" s="398"/>
      <c r="P182" s="398"/>
      <c r="Q182" s="398"/>
      <c r="R182" s="398"/>
      <c r="S182" s="398"/>
      <c r="T182" s="398"/>
      <c r="U182" s="398"/>
      <c r="V182" s="398"/>
      <c r="W182" s="398"/>
      <c r="X182" s="398"/>
      <c r="Y182" s="398"/>
      <c r="Z182" s="398"/>
      <c r="AA182" s="398"/>
      <c r="AB182" s="398"/>
      <c r="AC182" s="398"/>
      <c r="AD182" s="398"/>
      <c r="AE182" s="398"/>
      <c r="AF182" s="398"/>
      <c r="AG182" s="398"/>
      <c r="AH182" s="398"/>
      <c r="AI182" s="398"/>
    </row>
    <row r="183" spans="1:35" s="59" customFormat="1" outlineLevel="1">
      <c r="A183" s="398"/>
      <c r="B183" s="700" t="s">
        <v>1117</v>
      </c>
      <c r="C183" s="154">
        <f>SiteScalar</f>
        <v>1</v>
      </c>
      <c r="D183" s="398"/>
      <c r="E183" s="398"/>
      <c r="F183" s="398"/>
      <c r="G183" s="398"/>
      <c r="H183" s="398"/>
      <c r="I183" s="398"/>
      <c r="J183" s="398"/>
      <c r="K183" s="398"/>
      <c r="L183" s="398"/>
      <c r="M183" s="398"/>
      <c r="N183" s="398"/>
      <c r="O183" s="398"/>
      <c r="P183" s="398"/>
      <c r="Q183" s="398"/>
      <c r="R183" s="398"/>
      <c r="S183" s="398"/>
      <c r="T183" s="398"/>
      <c r="U183" s="398"/>
      <c r="V183" s="398"/>
      <c r="W183" s="398"/>
      <c r="X183" s="398"/>
      <c r="Y183" s="398"/>
      <c r="Z183" s="398"/>
      <c r="AA183" s="398"/>
      <c r="AB183" s="398"/>
      <c r="AC183" s="398"/>
      <c r="AD183" s="398"/>
      <c r="AE183" s="398"/>
      <c r="AF183" s="398"/>
      <c r="AG183" s="398"/>
      <c r="AH183" s="398"/>
      <c r="AI183" s="398"/>
    </row>
    <row r="184" spans="1:35" s="59" customFormat="1" ht="13.5" outlineLevel="1" thickBot="1">
      <c r="A184" s="398"/>
      <c r="B184" s="700" t="s">
        <v>1110</v>
      </c>
      <c r="C184" s="154">
        <f>OrgSizeLaborCostScalar</f>
        <v>1.0232736936137308</v>
      </c>
      <c r="D184" s="398"/>
      <c r="E184" s="398"/>
      <c r="F184" s="398"/>
      <c r="G184" s="398"/>
      <c r="H184" s="398"/>
      <c r="I184" s="398"/>
      <c r="J184" s="398"/>
      <c r="K184" s="398"/>
      <c r="L184" s="398"/>
      <c r="M184" s="398"/>
      <c r="N184" s="398"/>
      <c r="O184" s="398"/>
      <c r="P184" s="398"/>
      <c r="Q184" s="398"/>
      <c r="R184" s="398"/>
      <c r="S184" s="398"/>
      <c r="T184" s="398"/>
      <c r="U184" s="398"/>
      <c r="V184" s="398"/>
      <c r="W184" s="398"/>
      <c r="X184" s="398"/>
      <c r="Y184" s="398"/>
      <c r="Z184" s="398"/>
      <c r="AA184" s="398"/>
      <c r="AB184" s="398"/>
      <c r="AC184" s="398"/>
      <c r="AD184" s="398"/>
      <c r="AE184" s="398"/>
      <c r="AF184" s="398"/>
      <c r="AG184" s="398"/>
      <c r="AH184" s="398"/>
      <c r="AI184" s="398"/>
    </row>
    <row r="185" spans="1:35" s="59" customFormat="1" ht="13.5" outlineLevel="1" thickTop="1">
      <c r="A185" s="398"/>
      <c r="B185" s="700" t="s">
        <v>1118</v>
      </c>
      <c r="C185" s="179">
        <f>C183*C184</f>
        <v>1.0232736936137308</v>
      </c>
      <c r="D185" s="398"/>
      <c r="E185" s="398"/>
      <c r="F185" s="398"/>
      <c r="G185" s="398"/>
      <c r="H185" s="398"/>
      <c r="I185" s="398"/>
      <c r="J185" s="398"/>
      <c r="K185" s="398"/>
      <c r="L185" s="398"/>
      <c r="M185" s="398"/>
      <c r="N185" s="398"/>
      <c r="O185" s="398"/>
      <c r="P185" s="398"/>
      <c r="Q185" s="398"/>
      <c r="R185" s="398"/>
      <c r="S185" s="398"/>
      <c r="T185" s="398"/>
      <c r="U185" s="398"/>
      <c r="V185" s="398"/>
      <c r="W185" s="398"/>
      <c r="X185" s="398"/>
      <c r="Y185" s="398"/>
      <c r="Z185" s="398"/>
      <c r="AA185" s="398"/>
      <c r="AB185" s="398"/>
      <c r="AC185" s="398"/>
      <c r="AD185" s="398"/>
      <c r="AE185" s="398"/>
      <c r="AF185" s="398"/>
      <c r="AG185" s="398"/>
      <c r="AH185" s="398"/>
      <c r="AI185" s="398"/>
    </row>
    <row r="186" spans="1:35" s="59" customFormat="1" outlineLevel="1">
      <c r="A186" s="398"/>
      <c r="B186" s="398"/>
      <c r="C186" s="398"/>
      <c r="D186" s="398"/>
      <c r="E186" s="398"/>
      <c r="F186" s="398"/>
      <c r="G186" s="398"/>
      <c r="H186" s="398"/>
      <c r="I186" s="398"/>
      <c r="J186" s="398"/>
      <c r="K186" s="398"/>
      <c r="L186" s="398"/>
      <c r="M186" s="398"/>
      <c r="N186" s="398"/>
      <c r="O186" s="398"/>
      <c r="P186" s="398"/>
      <c r="Q186" s="398"/>
      <c r="R186" s="398"/>
      <c r="S186" s="398"/>
      <c r="T186" s="398"/>
      <c r="U186" s="398"/>
      <c r="V186" s="398"/>
      <c r="W186" s="398"/>
      <c r="X186" s="398"/>
      <c r="Y186" s="398"/>
      <c r="Z186" s="398"/>
      <c r="AA186" s="398"/>
      <c r="AB186" s="398"/>
      <c r="AC186" s="398"/>
      <c r="AD186" s="398"/>
      <c r="AE186" s="398"/>
      <c r="AF186" s="398"/>
      <c r="AG186" s="398"/>
      <c r="AH186" s="398"/>
      <c r="AI186" s="398"/>
    </row>
    <row r="187" spans="1:35" ht="15" outlineLevel="1">
      <c r="A187" s="6" t="s">
        <v>1119</v>
      </c>
      <c r="B187" s="398"/>
      <c r="C187" s="398"/>
      <c r="D187" s="398"/>
      <c r="E187" s="398"/>
      <c r="F187" s="398"/>
      <c r="G187" s="398"/>
      <c r="H187" s="398"/>
      <c r="I187" s="398"/>
      <c r="J187" s="398"/>
      <c r="K187" s="398"/>
      <c r="L187" s="398"/>
      <c r="M187" s="398"/>
      <c r="N187" s="398"/>
      <c r="O187" s="398"/>
      <c r="P187" s="398"/>
      <c r="Q187" s="398"/>
      <c r="R187" s="398"/>
      <c r="S187" s="398"/>
      <c r="T187" s="398"/>
      <c r="U187" s="398"/>
      <c r="V187" s="398"/>
      <c r="W187" s="398"/>
      <c r="X187" s="398"/>
      <c r="Y187" s="398"/>
      <c r="Z187" s="398"/>
      <c r="AA187" s="398"/>
      <c r="AB187" s="398"/>
      <c r="AC187" s="398"/>
      <c r="AD187" s="398"/>
      <c r="AE187" s="398"/>
      <c r="AF187" s="398"/>
      <c r="AG187" s="398"/>
      <c r="AH187" s="398"/>
      <c r="AI187" s="398"/>
    </row>
    <row r="188" spans="1:35" s="52" customFormat="1" ht="15" outlineLevel="1">
      <c r="A188" s="6"/>
      <c r="B188" s="36" t="s">
        <v>1120</v>
      </c>
      <c r="C188" s="610">
        <f>37872*1.15</f>
        <v>43552.799999999996</v>
      </c>
      <c r="D188" s="398"/>
      <c r="E188" s="398"/>
      <c r="F188" s="398"/>
      <c r="G188" s="398"/>
      <c r="H188" s="398"/>
      <c r="I188" s="398"/>
      <c r="J188" s="398"/>
      <c r="K188" s="398"/>
      <c r="L188" s="398"/>
      <c r="M188" s="398"/>
      <c r="N188" s="398"/>
      <c r="O188" s="398"/>
      <c r="P188" s="398"/>
      <c r="Q188" s="398"/>
      <c r="R188" s="398"/>
      <c r="S188" s="398"/>
      <c r="T188" s="398"/>
      <c r="U188" s="398"/>
      <c r="V188" s="398"/>
      <c r="W188" s="398"/>
      <c r="X188" s="398"/>
      <c r="Y188" s="398"/>
      <c r="Z188" s="398"/>
      <c r="AA188" s="398"/>
      <c r="AB188" s="398"/>
      <c r="AC188" s="398"/>
      <c r="AD188" s="398"/>
      <c r="AE188" s="398"/>
      <c r="AF188" s="398"/>
      <c r="AG188" s="398"/>
      <c r="AH188" s="398"/>
      <c r="AI188" s="398"/>
    </row>
    <row r="189" spans="1:35" s="52" customFormat="1" ht="15" outlineLevel="1">
      <c r="A189" s="6"/>
      <c r="B189" s="382" t="s">
        <v>1121</v>
      </c>
      <c r="C189" s="611">
        <f>C188*ExchangeRate</f>
        <v>43552.799999999996</v>
      </c>
      <c r="D189" s="398"/>
      <c r="E189" s="398"/>
      <c r="F189" s="398"/>
      <c r="G189" s="398"/>
      <c r="H189" s="398"/>
      <c r="I189" s="398"/>
      <c r="J189" s="398"/>
      <c r="K189" s="398"/>
      <c r="L189" s="398"/>
      <c r="M189" s="398"/>
      <c r="N189" s="398"/>
      <c r="O189" s="398"/>
      <c r="P189" s="398"/>
      <c r="Q189" s="398"/>
      <c r="R189" s="398"/>
      <c r="S189" s="398"/>
      <c r="T189" s="398"/>
      <c r="U189" s="398"/>
      <c r="V189" s="398"/>
      <c r="W189" s="398"/>
      <c r="X189" s="398"/>
      <c r="Y189" s="398"/>
      <c r="Z189" s="398"/>
      <c r="AA189" s="398"/>
      <c r="AB189" s="398"/>
      <c r="AC189" s="398"/>
      <c r="AD189" s="398"/>
      <c r="AE189" s="398"/>
      <c r="AF189" s="398"/>
      <c r="AG189" s="398"/>
      <c r="AH189" s="398"/>
      <c r="AI189" s="398"/>
    </row>
    <row r="190" spans="1:35" ht="25.5" outlineLevel="1">
      <c r="A190" s="398"/>
      <c r="B190" s="381" t="s">
        <v>1115</v>
      </c>
      <c r="C190" s="381" t="s">
        <v>1108</v>
      </c>
      <c r="D190" s="381" t="s">
        <v>1116</v>
      </c>
      <c r="E190" s="381" t="s">
        <v>1122</v>
      </c>
      <c r="F190" s="398"/>
      <c r="G190" s="381" t="s">
        <v>1123</v>
      </c>
      <c r="H190" s="381" t="s">
        <v>1112</v>
      </c>
      <c r="I190" s="398"/>
      <c r="J190" s="398"/>
      <c r="K190" s="398"/>
      <c r="L190" s="398"/>
      <c r="M190" s="398"/>
      <c r="N190" s="398"/>
      <c r="O190" s="398"/>
      <c r="P190" s="398"/>
      <c r="Q190" s="398"/>
      <c r="R190" s="398"/>
      <c r="S190" s="398"/>
      <c r="T190" s="398"/>
      <c r="U190" s="398"/>
      <c r="V190" s="398"/>
      <c r="W190" s="398"/>
      <c r="X190" s="398"/>
      <c r="Y190" s="398"/>
      <c r="Z190" s="398"/>
      <c r="AA190" s="398"/>
      <c r="AB190" s="398"/>
      <c r="AC190" s="398"/>
      <c r="AD190" s="398"/>
      <c r="AE190" s="398"/>
      <c r="AF190" s="398"/>
      <c r="AG190" s="398"/>
      <c r="AH190" s="398"/>
      <c r="AI190" s="398"/>
    </row>
    <row r="191" spans="1:35" outlineLevel="1">
      <c r="A191" s="398"/>
      <c r="B191" s="700" t="s">
        <v>1124</v>
      </c>
      <c r="C191" s="154">
        <f>L170</f>
        <v>1</v>
      </c>
      <c r="D191" s="697">
        <f>C189</f>
        <v>43552.799999999996</v>
      </c>
      <c r="E191" s="154">
        <f>CountryLaborCostScalar</f>
        <v>1</v>
      </c>
      <c r="F191" s="398"/>
      <c r="G191" s="154">
        <f t="shared" ref="G191:G196" si="13">$C$185</f>
        <v>1.0232736936137308</v>
      </c>
      <c r="H191" s="697">
        <f>BaseLaborComp*E191*G191</f>
        <v>44566.434523220087</v>
      </c>
      <c r="I191" s="398"/>
      <c r="J191" s="398"/>
      <c r="K191" s="398"/>
      <c r="L191" s="398"/>
      <c r="M191" s="398"/>
      <c r="N191" s="398"/>
      <c r="O191" s="398"/>
      <c r="P191" s="398"/>
      <c r="Q191" s="398"/>
      <c r="R191" s="398"/>
      <c r="S191" s="398"/>
      <c r="T191" s="398"/>
      <c r="U191" s="398"/>
      <c r="V191" s="398"/>
      <c r="W191" s="398"/>
      <c r="X191" s="398"/>
      <c r="Y191" s="398"/>
      <c r="Z191" s="398"/>
      <c r="AA191" s="398"/>
      <c r="AB191" s="398"/>
      <c r="AC191" s="398"/>
      <c r="AD191" s="398"/>
      <c r="AE191" s="398"/>
      <c r="AF191" s="398"/>
      <c r="AG191" s="398"/>
      <c r="AH191" s="398"/>
      <c r="AI191" s="398"/>
    </row>
    <row r="192" spans="1:35" outlineLevel="1">
      <c r="A192" s="398"/>
      <c r="B192" s="700" t="s">
        <v>592</v>
      </c>
      <c r="C192" s="154">
        <f>E94</f>
        <v>1.2727075804285928</v>
      </c>
      <c r="D192" s="697">
        <f>BaseLaborComp*C192</f>
        <v>55429.978708890412</v>
      </c>
      <c r="E192" s="154">
        <f>H170</f>
        <v>1</v>
      </c>
      <c r="F192" s="398"/>
      <c r="G192" s="154">
        <f t="shared" si="13"/>
        <v>1.0232736936137308</v>
      </c>
      <c r="H192" s="539">
        <f>D192*E192*G192</f>
        <v>56720.039050376748</v>
      </c>
      <c r="I192" s="398"/>
      <c r="J192" s="398"/>
      <c r="K192" s="398"/>
      <c r="L192" s="398"/>
      <c r="M192" s="398"/>
      <c r="N192" s="398"/>
      <c r="O192" s="398"/>
      <c r="P192" s="398"/>
      <c r="Q192" s="398"/>
      <c r="R192" s="398"/>
      <c r="S192" s="398"/>
      <c r="T192" s="398"/>
      <c r="U192" s="398"/>
      <c r="V192" s="398"/>
      <c r="W192" s="398"/>
      <c r="X192" s="398"/>
      <c r="Y192" s="398"/>
      <c r="Z192" s="398"/>
      <c r="AA192" s="398"/>
      <c r="AB192" s="398"/>
      <c r="AC192" s="398"/>
      <c r="AD192" s="398"/>
      <c r="AE192" s="398"/>
      <c r="AF192" s="398"/>
      <c r="AG192" s="398"/>
      <c r="AH192" s="398"/>
      <c r="AI192" s="398"/>
    </row>
    <row r="193" spans="1:35" outlineLevel="1">
      <c r="A193" s="398"/>
      <c r="B193" s="700" t="s">
        <v>1006</v>
      </c>
      <c r="C193" s="154">
        <f>E94</f>
        <v>1.2727075804285928</v>
      </c>
      <c r="D193" s="697">
        <f>BaseLaborComp*C193</f>
        <v>55429.978708890412</v>
      </c>
      <c r="E193" s="154">
        <f>H170</f>
        <v>1</v>
      </c>
      <c r="F193" s="398"/>
      <c r="G193" s="154">
        <f t="shared" si="13"/>
        <v>1.0232736936137308</v>
      </c>
      <c r="H193" s="539">
        <f>D193*E193*G193</f>
        <v>56720.039050376748</v>
      </c>
      <c r="I193" s="270"/>
      <c r="J193" s="580"/>
      <c r="K193" s="398"/>
      <c r="L193" s="398"/>
      <c r="M193" s="398"/>
      <c r="N193" s="398"/>
      <c r="O193" s="398"/>
      <c r="P193" s="398"/>
      <c r="Q193" s="398"/>
      <c r="R193" s="398"/>
      <c r="S193" s="398"/>
      <c r="T193" s="398"/>
      <c r="U193" s="398"/>
      <c r="V193" s="398"/>
      <c r="W193" s="398"/>
      <c r="X193" s="398"/>
      <c r="Y193" s="398"/>
      <c r="Z193" s="398"/>
      <c r="AA193" s="398"/>
      <c r="AB193" s="398"/>
      <c r="AC193" s="398"/>
      <c r="AD193" s="398"/>
      <c r="AE193" s="398"/>
      <c r="AF193" s="398"/>
      <c r="AG193" s="398"/>
      <c r="AH193" s="398"/>
      <c r="AI193" s="398"/>
    </row>
    <row r="194" spans="1:35" outlineLevel="1">
      <c r="A194" s="398"/>
      <c r="B194" s="700" t="s">
        <v>1007</v>
      </c>
      <c r="C194" s="154">
        <f>F94</f>
        <v>1.6182164341473591</v>
      </c>
      <c r="D194" s="697">
        <f>BaseLaborComp*C194</f>
        <v>70477.856713133093</v>
      </c>
      <c r="E194" s="154">
        <f>I170</f>
        <v>1</v>
      </c>
      <c r="F194" s="398"/>
      <c r="G194" s="154">
        <f t="shared" si="13"/>
        <v>1.0232736936137308</v>
      </c>
      <c r="H194" s="539">
        <f>D194*E194*G194</f>
        <v>72118.136756826978</v>
      </c>
      <c r="I194" s="270"/>
      <c r="J194" s="580"/>
      <c r="K194" s="398"/>
      <c r="L194" s="398"/>
      <c r="M194" s="398"/>
      <c r="N194" s="398"/>
      <c r="O194" s="398"/>
      <c r="P194" s="398"/>
      <c r="Q194" s="398"/>
      <c r="R194" s="398"/>
      <c r="S194" s="398"/>
      <c r="T194" s="398"/>
      <c r="U194" s="398"/>
      <c r="V194" s="398"/>
      <c r="W194" s="398"/>
      <c r="X194" s="398"/>
      <c r="Y194" s="398"/>
      <c r="Z194" s="398"/>
      <c r="AA194" s="398"/>
      <c r="AB194" s="398"/>
      <c r="AC194" s="398"/>
      <c r="AD194" s="398"/>
      <c r="AE194" s="398"/>
      <c r="AF194" s="398"/>
      <c r="AG194" s="398"/>
      <c r="AH194" s="398"/>
      <c r="AI194" s="398"/>
    </row>
    <row r="195" spans="1:35" outlineLevel="1">
      <c r="A195" s="398"/>
      <c r="B195" s="700" t="s">
        <v>1125</v>
      </c>
      <c r="C195" s="154">
        <f>G94</f>
        <v>1.7828374253207442</v>
      </c>
      <c r="D195" s="697">
        <f>BaseLaborComp*C195</f>
        <v>77647.561817509297</v>
      </c>
      <c r="E195" s="154">
        <f>J170</f>
        <v>1</v>
      </c>
      <c r="F195" s="398"/>
      <c r="G195" s="154">
        <f t="shared" si="13"/>
        <v>1.0232736936137308</v>
      </c>
      <c r="H195" s="539">
        <f>D195*E195*G195</f>
        <v>79454.707381103231</v>
      </c>
      <c r="I195" s="270"/>
      <c r="J195" s="580"/>
      <c r="K195" s="398"/>
      <c r="L195" s="398"/>
      <c r="M195" s="398"/>
      <c r="N195" s="398"/>
      <c r="O195" s="398"/>
      <c r="P195" s="398"/>
      <c r="Q195" s="398"/>
      <c r="R195" s="398"/>
      <c r="S195" s="398"/>
      <c r="T195" s="398"/>
      <c r="U195" s="398"/>
      <c r="V195" s="398"/>
      <c r="W195" s="398"/>
      <c r="X195" s="398"/>
      <c r="Y195" s="398"/>
      <c r="Z195" s="398"/>
      <c r="AA195" s="398"/>
      <c r="AB195" s="398"/>
      <c r="AC195" s="398"/>
      <c r="AD195" s="398"/>
      <c r="AE195" s="398"/>
      <c r="AF195" s="398"/>
      <c r="AG195" s="398"/>
      <c r="AH195" s="398"/>
      <c r="AI195" s="398"/>
    </row>
    <row r="196" spans="1:35" outlineLevel="1">
      <c r="A196" s="398"/>
      <c r="B196" s="700" t="s">
        <v>1126</v>
      </c>
      <c r="C196" s="154">
        <f>C195</f>
        <v>1.7828374253207442</v>
      </c>
      <c r="D196" s="697">
        <f>BaseLaborComp*C196</f>
        <v>77647.561817509297</v>
      </c>
      <c r="E196" s="154">
        <f>I170</f>
        <v>1</v>
      </c>
      <c r="F196" s="398"/>
      <c r="G196" s="154">
        <f t="shared" si="13"/>
        <v>1.0232736936137308</v>
      </c>
      <c r="H196" s="539">
        <f>D196*E196*G196</f>
        <v>79454.707381103231</v>
      </c>
      <c r="I196" s="270"/>
      <c r="J196" s="580"/>
      <c r="K196" s="398"/>
      <c r="L196" s="398"/>
      <c r="M196" s="398"/>
      <c r="N196" s="398"/>
      <c r="O196" s="398"/>
      <c r="P196" s="398"/>
      <c r="Q196" s="398"/>
      <c r="R196" s="398"/>
      <c r="S196" s="398"/>
      <c r="T196" s="398"/>
      <c r="U196" s="398"/>
      <c r="V196" s="398"/>
      <c r="W196" s="398"/>
      <c r="X196" s="398"/>
      <c r="Y196" s="398"/>
      <c r="Z196" s="398"/>
      <c r="AA196" s="398"/>
      <c r="AB196" s="398"/>
      <c r="AC196" s="398"/>
      <c r="AD196" s="398"/>
      <c r="AE196" s="398"/>
      <c r="AF196" s="398"/>
      <c r="AG196" s="398"/>
      <c r="AH196" s="398"/>
      <c r="AI196" s="398"/>
    </row>
    <row r="197" spans="1:35" outlineLevel="1">
      <c r="A197" s="398"/>
      <c r="B197" s="77" t="s">
        <v>980</v>
      </c>
      <c r="C197" s="398"/>
      <c r="D197" s="398"/>
      <c r="E197" s="398"/>
      <c r="F197" s="398"/>
      <c r="G197" s="398"/>
      <c r="H197" s="398"/>
      <c r="I197" s="398"/>
      <c r="J197" s="398"/>
      <c r="K197" s="398"/>
      <c r="L197" s="398"/>
      <c r="M197" s="398"/>
      <c r="N197" s="398"/>
      <c r="O197" s="398"/>
      <c r="P197" s="398"/>
      <c r="Q197" s="398"/>
      <c r="R197" s="398"/>
      <c r="S197" s="398"/>
      <c r="T197" s="398"/>
      <c r="U197" s="398"/>
      <c r="V197" s="398"/>
      <c r="W197" s="398"/>
      <c r="X197" s="398"/>
      <c r="Y197" s="398"/>
      <c r="Z197" s="398"/>
      <c r="AA197" s="398"/>
      <c r="AB197" s="398"/>
      <c r="AC197" s="398"/>
      <c r="AD197" s="398"/>
      <c r="AE197" s="398"/>
      <c r="AF197" s="398"/>
      <c r="AG197" s="398"/>
      <c r="AH197" s="398"/>
      <c r="AI197" s="398"/>
    </row>
    <row r="198" spans="1:35" outlineLevel="1">
      <c r="A198" s="398"/>
      <c r="B198" s="77"/>
      <c r="C198" s="398"/>
      <c r="D198" s="398"/>
      <c r="E198" s="398"/>
      <c r="F198" s="398"/>
      <c r="G198" s="398"/>
      <c r="H198" s="398"/>
      <c r="I198" s="398"/>
      <c r="J198" s="398"/>
      <c r="K198" s="398"/>
      <c r="L198" s="398"/>
      <c r="M198" s="398"/>
      <c r="N198" s="398"/>
      <c r="O198" s="398"/>
      <c r="P198" s="398"/>
      <c r="Q198" s="398"/>
      <c r="R198" s="398"/>
      <c r="S198" s="398"/>
      <c r="T198" s="398"/>
      <c r="U198" s="398"/>
      <c r="V198" s="398"/>
      <c r="W198" s="398"/>
      <c r="X198" s="398"/>
      <c r="Y198" s="398"/>
      <c r="Z198" s="398"/>
      <c r="AA198" s="398"/>
      <c r="AB198" s="398"/>
      <c r="AC198" s="398"/>
      <c r="AD198" s="398"/>
      <c r="AE198" s="398"/>
      <c r="AF198" s="398"/>
      <c r="AG198" s="398"/>
      <c r="AH198" s="398"/>
      <c r="AI198" s="398"/>
    </row>
    <row r="199" spans="1:35" ht="15" outlineLevel="1">
      <c r="A199" s="6" t="s">
        <v>1119</v>
      </c>
      <c r="B199" s="77"/>
      <c r="C199" s="398"/>
      <c r="D199" s="398"/>
      <c r="E199" s="398"/>
      <c r="F199" s="398"/>
      <c r="G199" s="398"/>
      <c r="H199" s="398"/>
      <c r="I199" s="398"/>
      <c r="J199" s="398"/>
      <c r="K199" s="398"/>
      <c r="L199" s="398"/>
      <c r="M199" s="398"/>
      <c r="N199" s="398"/>
      <c r="O199" s="398"/>
      <c r="P199" s="398"/>
      <c r="Q199" s="398"/>
      <c r="R199" s="398"/>
      <c r="S199" s="398"/>
      <c r="T199" s="398"/>
      <c r="U199" s="398"/>
      <c r="V199" s="398"/>
      <c r="W199" s="398"/>
      <c r="X199" s="398"/>
      <c r="Y199" s="398"/>
      <c r="Z199" s="398"/>
      <c r="AA199" s="398"/>
      <c r="AB199" s="398"/>
      <c r="AC199" s="398"/>
      <c r="AD199" s="398"/>
      <c r="AE199" s="398"/>
      <c r="AF199" s="398"/>
      <c r="AG199" s="398"/>
      <c r="AH199" s="398"/>
      <c r="AI199" s="398"/>
    </row>
    <row r="200" spans="1:35" s="52" customFormat="1" ht="15" outlineLevel="1">
      <c r="A200" s="6"/>
      <c r="B200" s="36" t="s">
        <v>1120</v>
      </c>
      <c r="C200" s="610">
        <f>88000*0.95</f>
        <v>83600</v>
      </c>
      <c r="D200" s="398"/>
      <c r="E200" s="398"/>
      <c r="F200" s="398"/>
      <c r="G200" s="398"/>
      <c r="H200" s="398"/>
      <c r="I200" s="398"/>
      <c r="J200" s="398"/>
      <c r="K200" s="398"/>
      <c r="L200" s="398"/>
      <c r="M200" s="398"/>
      <c r="N200" s="398"/>
      <c r="O200" s="398"/>
      <c r="P200" s="398"/>
      <c r="Q200" s="398"/>
      <c r="R200" s="398"/>
      <c r="S200" s="398"/>
      <c r="T200" s="398"/>
      <c r="U200" s="398"/>
      <c r="V200" s="398"/>
      <c r="W200" s="398"/>
      <c r="X200" s="398"/>
      <c r="Y200" s="398"/>
      <c r="Z200" s="398"/>
      <c r="AA200" s="398"/>
      <c r="AB200" s="398"/>
      <c r="AC200" s="398"/>
      <c r="AD200" s="398"/>
      <c r="AE200" s="398"/>
      <c r="AF200" s="398"/>
      <c r="AG200" s="398"/>
      <c r="AH200" s="398"/>
      <c r="AI200" s="398"/>
    </row>
    <row r="201" spans="1:35" s="52" customFormat="1" ht="15" outlineLevel="1">
      <c r="A201" s="6"/>
      <c r="B201" s="382" t="s">
        <v>1121</v>
      </c>
      <c r="C201" s="611">
        <f>C200*ExchangeRate</f>
        <v>83600</v>
      </c>
      <c r="D201" s="398"/>
      <c r="E201" s="398"/>
      <c r="F201" s="398"/>
      <c r="G201" s="398"/>
      <c r="H201" s="398"/>
      <c r="I201" s="398"/>
      <c r="J201" s="398"/>
      <c r="K201" s="398"/>
      <c r="L201" s="398"/>
      <c r="M201" s="398"/>
      <c r="N201" s="398"/>
      <c r="O201" s="398"/>
      <c r="P201" s="398"/>
      <c r="Q201" s="398"/>
      <c r="R201" s="398"/>
      <c r="S201" s="398"/>
      <c r="T201" s="398"/>
      <c r="U201" s="398"/>
      <c r="V201" s="398"/>
      <c r="W201" s="398"/>
      <c r="X201" s="398"/>
      <c r="Y201" s="398"/>
      <c r="Z201" s="398"/>
      <c r="AA201" s="398"/>
      <c r="AB201" s="398"/>
      <c r="AC201" s="398"/>
      <c r="AD201" s="398"/>
      <c r="AE201" s="398"/>
      <c r="AF201" s="398"/>
      <c r="AG201" s="398"/>
      <c r="AH201" s="398"/>
      <c r="AI201" s="398"/>
    </row>
    <row r="202" spans="1:35" s="52" customFormat="1" ht="15" outlineLevel="1">
      <c r="A202" s="6"/>
      <c r="B202" s="77"/>
      <c r="C202" s="398"/>
      <c r="D202" s="398"/>
      <c r="E202" s="398"/>
      <c r="F202" s="398"/>
      <c r="G202" s="398"/>
      <c r="H202" s="398"/>
      <c r="I202" s="398"/>
      <c r="J202" s="398"/>
      <c r="K202" s="398"/>
      <c r="L202" s="398"/>
      <c r="M202" s="398"/>
      <c r="N202" s="398"/>
      <c r="O202" s="398"/>
      <c r="P202" s="398"/>
      <c r="Q202" s="398"/>
      <c r="R202" s="398"/>
      <c r="S202" s="398"/>
      <c r="T202" s="398"/>
      <c r="U202" s="398"/>
      <c r="V202" s="398"/>
      <c r="W202" s="398"/>
      <c r="X202" s="398"/>
      <c r="Y202" s="398"/>
      <c r="Z202" s="398"/>
      <c r="AA202" s="398"/>
      <c r="AB202" s="398"/>
      <c r="AC202" s="398"/>
      <c r="AD202" s="398"/>
      <c r="AE202" s="398"/>
      <c r="AF202" s="398"/>
      <c r="AG202" s="398"/>
      <c r="AH202" s="398"/>
      <c r="AI202" s="398"/>
    </row>
    <row r="203" spans="1:35" ht="25.5" outlineLevel="1">
      <c r="A203" s="398"/>
      <c r="B203" s="671" t="s">
        <v>1115</v>
      </c>
      <c r="C203" s="671" t="s">
        <v>1127</v>
      </c>
      <c r="D203" s="671" t="s">
        <v>1116</v>
      </c>
      <c r="E203" s="381" t="s">
        <v>1108</v>
      </c>
      <c r="F203" s="381" t="s">
        <v>1122</v>
      </c>
      <c r="G203" s="381" t="s">
        <v>1123</v>
      </c>
      <c r="H203" s="381" t="s">
        <v>1112</v>
      </c>
      <c r="I203" s="398"/>
      <c r="J203" s="398"/>
      <c r="K203" s="398"/>
      <c r="L203" s="398"/>
      <c r="M203" s="398"/>
      <c r="N203" s="398"/>
      <c r="O203" s="398"/>
      <c r="P203" s="398"/>
      <c r="Q203" s="398"/>
      <c r="R203" s="398"/>
      <c r="S203" s="398"/>
      <c r="T203" s="398"/>
      <c r="U203" s="398"/>
      <c r="V203" s="398"/>
      <c r="W203" s="398"/>
      <c r="X203" s="398"/>
      <c r="Y203" s="398"/>
      <c r="Z203" s="398"/>
      <c r="AA203" s="398"/>
      <c r="AB203" s="398"/>
      <c r="AC203" s="398"/>
      <c r="AD203" s="398"/>
      <c r="AE203" s="398"/>
      <c r="AF203" s="398"/>
      <c r="AG203" s="398"/>
      <c r="AH203" s="398"/>
      <c r="AI203" s="398"/>
    </row>
    <row r="204" spans="1:35" s="75" customFormat="1" outlineLevel="1">
      <c r="A204" s="398"/>
      <c r="B204" s="36" t="s">
        <v>1120</v>
      </c>
      <c r="C204" s="697">
        <f>C201</f>
        <v>83600</v>
      </c>
      <c r="D204" s="398"/>
      <c r="E204" s="398"/>
      <c r="F204" s="398"/>
      <c r="G204" s="398"/>
      <c r="H204" s="398"/>
      <c r="I204" s="398"/>
      <c r="J204" s="398"/>
      <c r="K204" s="398"/>
      <c r="L204" s="398"/>
      <c r="M204" s="398"/>
      <c r="N204" s="398"/>
      <c r="O204" s="398"/>
      <c r="P204" s="398"/>
      <c r="Q204" s="398"/>
      <c r="R204" s="398"/>
      <c r="S204" s="398"/>
      <c r="T204" s="398"/>
      <c r="U204" s="398"/>
      <c r="V204" s="398"/>
      <c r="W204" s="398"/>
      <c r="X204" s="398"/>
      <c r="Y204" s="398"/>
      <c r="Z204" s="398"/>
      <c r="AA204" s="398"/>
      <c r="AB204" s="398"/>
      <c r="AC204" s="398"/>
      <c r="AD204" s="398"/>
      <c r="AE204" s="398"/>
      <c r="AF204" s="398"/>
      <c r="AG204" s="398"/>
      <c r="AH204" s="398"/>
      <c r="AI204" s="398"/>
    </row>
    <row r="205" spans="1:35" outlineLevel="1">
      <c r="A205" s="398"/>
      <c r="B205" s="36" t="s">
        <v>149</v>
      </c>
      <c r="C205" s="154">
        <v>1.0933940774487472</v>
      </c>
      <c r="D205" s="534">
        <f>$C$204*C205</f>
        <v>91407.744874715267</v>
      </c>
      <c r="E205" s="154">
        <f>H94</f>
        <v>1</v>
      </c>
      <c r="F205" s="154">
        <f>J170</f>
        <v>1</v>
      </c>
      <c r="G205" s="154">
        <f t="shared" ref="G205:G212" si="14">$C$185</f>
        <v>1.0232736936137308</v>
      </c>
      <c r="H205" s="539">
        <f t="shared" ref="H205:H212" si="15">D205*E205*F205*G205</f>
        <v>93535.140722851458</v>
      </c>
      <c r="I205" s="270" t="s">
        <v>1128</v>
      </c>
      <c r="J205" s="270" t="s">
        <v>1129</v>
      </c>
      <c r="K205" s="398" t="str">
        <f>J205&amp;I205</f>
        <v>CompDefCompDefAppDev</v>
      </c>
      <c r="L205" s="398"/>
      <c r="M205" s="398"/>
      <c r="N205" s="398"/>
      <c r="O205" s="398"/>
      <c r="P205" s="398"/>
      <c r="Q205" s="398"/>
      <c r="R205" s="398"/>
      <c r="S205" s="398"/>
      <c r="T205" s="398"/>
      <c r="U205" s="398"/>
      <c r="V205" s="398"/>
      <c r="W205" s="398"/>
      <c r="X205" s="398"/>
      <c r="Y205" s="398"/>
      <c r="Z205" s="398"/>
      <c r="AA205" s="398"/>
      <c r="AB205" s="398"/>
      <c r="AC205" s="398"/>
      <c r="AD205" s="398"/>
      <c r="AE205" s="398"/>
      <c r="AF205" s="398"/>
      <c r="AG205" s="398"/>
      <c r="AH205" s="398"/>
      <c r="AI205" s="398"/>
    </row>
    <row r="206" spans="1:35" outlineLevel="1">
      <c r="A206" s="398"/>
      <c r="B206" s="36" t="s">
        <v>150</v>
      </c>
      <c r="C206" s="154">
        <v>1.0136674259681093</v>
      </c>
      <c r="D206" s="697">
        <f t="shared" ref="D206:D212" si="16">$C$204*C206</f>
        <v>84742.596810933945</v>
      </c>
      <c r="E206" s="154">
        <f t="shared" ref="E206:F208" si="17">E205</f>
        <v>1</v>
      </c>
      <c r="F206" s="154">
        <f t="shared" si="17"/>
        <v>1</v>
      </c>
      <c r="G206" s="154">
        <f t="shared" si="14"/>
        <v>1.0232736936137308</v>
      </c>
      <c r="H206" s="539">
        <f t="shared" si="15"/>
        <v>86714.870045143543</v>
      </c>
      <c r="I206" s="270" t="s">
        <v>1130</v>
      </c>
      <c r="J206" s="270" t="s">
        <v>1129</v>
      </c>
      <c r="K206" s="398" t="str">
        <f t="shared" ref="K206:K212" si="18">J206&amp;I206</f>
        <v>CompDefAppSupp</v>
      </c>
      <c r="L206" s="398"/>
      <c r="M206" s="398"/>
      <c r="N206" s="398"/>
      <c r="O206" s="398"/>
      <c r="P206" s="398"/>
      <c r="Q206" s="398"/>
      <c r="R206" s="398"/>
      <c r="S206" s="398"/>
      <c r="T206" s="398"/>
      <c r="U206" s="398"/>
      <c r="V206" s="398"/>
      <c r="W206" s="398"/>
      <c r="X206" s="398"/>
      <c r="Y206" s="398"/>
      <c r="Z206" s="398"/>
      <c r="AA206" s="398"/>
      <c r="AB206" s="398"/>
      <c r="AC206" s="398"/>
      <c r="AD206" s="398"/>
      <c r="AE206" s="398"/>
      <c r="AF206" s="398"/>
      <c r="AG206" s="398"/>
      <c r="AH206" s="398"/>
      <c r="AI206" s="398"/>
    </row>
    <row r="207" spans="1:35" s="75" customFormat="1" outlineLevel="1">
      <c r="A207" s="398"/>
      <c r="B207" s="36" t="s">
        <v>151</v>
      </c>
      <c r="C207" s="154">
        <v>1.0592255125284737</v>
      </c>
      <c r="D207" s="697">
        <f t="shared" si="16"/>
        <v>88551.252847380412</v>
      </c>
      <c r="E207" s="154">
        <f t="shared" si="17"/>
        <v>1</v>
      </c>
      <c r="F207" s="154">
        <f t="shared" si="17"/>
        <v>1</v>
      </c>
      <c r="G207" s="154">
        <f t="shared" si="14"/>
        <v>1.0232736936137308</v>
      </c>
      <c r="H207" s="539">
        <f t="shared" si="15"/>
        <v>90612.167575262341</v>
      </c>
      <c r="I207" s="270" t="s">
        <v>1131</v>
      </c>
      <c r="J207" s="270" t="s">
        <v>1129</v>
      </c>
      <c r="K207" s="398" t="str">
        <f t="shared" si="18"/>
        <v>CompDefDataCtr</v>
      </c>
      <c r="L207" s="398"/>
      <c r="M207" s="398"/>
      <c r="N207" s="398"/>
      <c r="O207" s="398"/>
      <c r="P207" s="398"/>
      <c r="Q207" s="398"/>
      <c r="R207" s="398"/>
      <c r="S207" s="398"/>
      <c r="T207" s="398"/>
      <c r="U207" s="398"/>
      <c r="V207" s="398"/>
      <c r="W207" s="398"/>
      <c r="X207" s="398"/>
      <c r="Y207" s="398"/>
      <c r="Z207" s="398"/>
      <c r="AA207" s="398"/>
      <c r="AB207" s="398"/>
      <c r="AC207" s="398"/>
      <c r="AD207" s="398"/>
      <c r="AE207" s="398"/>
      <c r="AF207" s="398"/>
      <c r="AG207" s="398"/>
      <c r="AH207" s="398"/>
      <c r="AI207" s="398"/>
    </row>
    <row r="208" spans="1:35" s="75" customFormat="1" outlineLevel="1">
      <c r="A208" s="398"/>
      <c r="B208" s="36" t="s">
        <v>152</v>
      </c>
      <c r="C208" s="154">
        <v>0.93963553530751709</v>
      </c>
      <c r="D208" s="697">
        <f t="shared" si="16"/>
        <v>78553.530751708429</v>
      </c>
      <c r="E208" s="154">
        <f t="shared" si="17"/>
        <v>1</v>
      </c>
      <c r="F208" s="154">
        <f t="shared" si="17"/>
        <v>1</v>
      </c>
      <c r="G208" s="154">
        <f t="shared" si="14"/>
        <v>1.0232736936137308</v>
      </c>
      <c r="H208" s="539">
        <f t="shared" si="15"/>
        <v>80381.761558700469</v>
      </c>
      <c r="I208" s="77" t="s">
        <v>1132</v>
      </c>
      <c r="J208" s="270" t="s">
        <v>1129</v>
      </c>
      <c r="K208" s="398" t="str">
        <f t="shared" si="18"/>
        <v>CompDefDesktop</v>
      </c>
      <c r="L208" s="398"/>
      <c r="M208" s="398"/>
      <c r="N208" s="398"/>
      <c r="O208" s="398"/>
      <c r="P208" s="398"/>
      <c r="Q208" s="398"/>
      <c r="R208" s="398"/>
      <c r="S208" s="398"/>
      <c r="T208" s="398"/>
      <c r="U208" s="398"/>
      <c r="V208" s="398"/>
      <c r="W208" s="398"/>
      <c r="X208" s="398"/>
      <c r="Y208" s="398"/>
      <c r="Z208" s="398"/>
      <c r="AA208" s="398"/>
      <c r="AB208" s="398"/>
      <c r="AC208" s="398"/>
      <c r="AD208" s="398"/>
      <c r="AE208" s="398"/>
      <c r="AF208" s="398"/>
      <c r="AG208" s="398"/>
      <c r="AH208" s="398"/>
      <c r="AI208" s="398"/>
    </row>
    <row r="209" spans="1:35" outlineLevel="1">
      <c r="A209" s="398"/>
      <c r="B209" s="36" t="s">
        <v>153</v>
      </c>
      <c r="C209" s="154">
        <v>0.62642369020501143</v>
      </c>
      <c r="D209" s="697">
        <f t="shared" si="16"/>
        <v>52369.020501138955</v>
      </c>
      <c r="E209" s="154">
        <f>E206</f>
        <v>1</v>
      </c>
      <c r="F209" s="154">
        <f>F206</f>
        <v>1</v>
      </c>
      <c r="G209" s="154">
        <f t="shared" si="14"/>
        <v>1.0232736936137308</v>
      </c>
      <c r="H209" s="539">
        <f t="shared" si="15"/>
        <v>53587.841039133651</v>
      </c>
      <c r="I209" s="77" t="s">
        <v>1133</v>
      </c>
      <c r="J209" s="270" t="s">
        <v>1129</v>
      </c>
      <c r="K209" s="398" t="str">
        <f t="shared" si="18"/>
        <v>CompDefHelpDesk</v>
      </c>
      <c r="L209" s="398"/>
      <c r="M209" s="398"/>
      <c r="N209" s="398"/>
      <c r="O209" s="398"/>
      <c r="P209" s="398"/>
      <c r="Q209" s="398"/>
      <c r="R209" s="398"/>
      <c r="S209" s="398"/>
      <c r="T209" s="398"/>
      <c r="U209" s="398"/>
      <c r="V209" s="398"/>
      <c r="W209" s="398"/>
      <c r="X209" s="398"/>
      <c r="Y209" s="398"/>
      <c r="Z209" s="398"/>
      <c r="AA209" s="398"/>
      <c r="AB209" s="398"/>
      <c r="AC209" s="398"/>
      <c r="AD209" s="398"/>
      <c r="AE209" s="398"/>
      <c r="AF209" s="398"/>
      <c r="AG209" s="398"/>
      <c r="AH209" s="398"/>
      <c r="AI209" s="398"/>
    </row>
    <row r="210" spans="1:35" outlineLevel="1">
      <c r="A210" s="398"/>
      <c r="B210" s="36" t="s">
        <v>154</v>
      </c>
      <c r="C210" s="154">
        <v>0.91116173120728927</v>
      </c>
      <c r="D210" s="697">
        <f t="shared" si="16"/>
        <v>76173.120728929382</v>
      </c>
      <c r="E210" s="154">
        <f t="shared" ref="E210:F212" si="19">E209</f>
        <v>1</v>
      </c>
      <c r="F210" s="154">
        <f t="shared" si="19"/>
        <v>1</v>
      </c>
      <c r="G210" s="154">
        <f t="shared" si="14"/>
        <v>1.0232736936137308</v>
      </c>
      <c r="H210" s="539">
        <f t="shared" si="15"/>
        <v>77945.950602376208</v>
      </c>
      <c r="I210" s="77" t="s">
        <v>1134</v>
      </c>
      <c r="J210" s="270" t="s">
        <v>1129</v>
      </c>
      <c r="K210" s="398" t="str">
        <f t="shared" si="18"/>
        <v>CompDefVoiceNet</v>
      </c>
      <c r="L210" s="398"/>
      <c r="M210" s="398"/>
      <c r="N210" s="398"/>
      <c r="O210" s="398"/>
      <c r="P210" s="398"/>
      <c r="Q210" s="398"/>
      <c r="R210" s="398"/>
      <c r="S210" s="398"/>
      <c r="T210" s="398"/>
      <c r="U210" s="398"/>
      <c r="V210" s="398"/>
      <c r="W210" s="398"/>
      <c r="X210" s="398"/>
      <c r="Y210" s="398"/>
      <c r="Z210" s="398"/>
      <c r="AA210" s="398"/>
      <c r="AB210" s="398"/>
      <c r="AC210" s="398"/>
      <c r="AD210" s="398"/>
      <c r="AE210" s="398"/>
      <c r="AF210" s="398"/>
      <c r="AG210" s="398"/>
      <c r="AH210" s="398"/>
      <c r="AI210" s="398"/>
    </row>
    <row r="211" spans="1:35" outlineLevel="1">
      <c r="A211" s="398"/>
      <c r="B211" s="36" t="s">
        <v>155</v>
      </c>
      <c r="C211" s="154">
        <v>0.95102505694760819</v>
      </c>
      <c r="D211" s="697">
        <f t="shared" si="16"/>
        <v>79505.694760820043</v>
      </c>
      <c r="E211" s="154">
        <f t="shared" si="19"/>
        <v>1</v>
      </c>
      <c r="F211" s="154">
        <f t="shared" si="19"/>
        <v>1</v>
      </c>
      <c r="G211" s="154">
        <f t="shared" si="14"/>
        <v>1.0232736936137308</v>
      </c>
      <c r="H211" s="539">
        <f t="shared" si="15"/>
        <v>81356.085941230165</v>
      </c>
      <c r="I211" s="77" t="s">
        <v>1135</v>
      </c>
      <c r="J211" s="270" t="s">
        <v>1129</v>
      </c>
      <c r="K211" s="398" t="str">
        <f t="shared" si="18"/>
        <v>CompDefDataNet</v>
      </c>
      <c r="L211" s="398"/>
      <c r="M211" s="398"/>
      <c r="N211" s="398"/>
      <c r="O211" s="398"/>
      <c r="P211" s="398"/>
      <c r="Q211" s="398"/>
      <c r="R211" s="398"/>
      <c r="S211" s="398"/>
      <c r="T211" s="398"/>
      <c r="U211" s="398"/>
      <c r="V211" s="398"/>
      <c r="W211" s="398"/>
      <c r="X211" s="398"/>
      <c r="Y211" s="398"/>
      <c r="Z211" s="398"/>
      <c r="AA211" s="398"/>
      <c r="AB211" s="398"/>
      <c r="AC211" s="398"/>
      <c r="AD211" s="398"/>
      <c r="AE211" s="398"/>
      <c r="AF211" s="398"/>
      <c r="AG211" s="398"/>
      <c r="AH211" s="398"/>
      <c r="AI211" s="398"/>
    </row>
    <row r="212" spans="1:35" outlineLevel="1">
      <c r="A212" s="398"/>
      <c r="B212" s="36" t="s">
        <v>156</v>
      </c>
      <c r="C212" s="154">
        <v>1.3023917995444192</v>
      </c>
      <c r="D212" s="697">
        <f t="shared" si="16"/>
        <v>108879.95444191345</v>
      </c>
      <c r="E212" s="154">
        <f t="shared" si="19"/>
        <v>1</v>
      </c>
      <c r="F212" s="154">
        <f t="shared" si="19"/>
        <v>1</v>
      </c>
      <c r="G212" s="154">
        <f t="shared" si="14"/>
        <v>1.0232736936137308</v>
      </c>
      <c r="H212" s="539">
        <f t="shared" si="15"/>
        <v>111413.9931422715</v>
      </c>
      <c r="I212" s="77" t="s">
        <v>724</v>
      </c>
      <c r="J212" s="270" t="s">
        <v>1129</v>
      </c>
      <c r="K212" s="398" t="str">
        <f t="shared" si="18"/>
        <v>CompDefMgmt</v>
      </c>
      <c r="L212" s="398"/>
      <c r="M212" s="398"/>
      <c r="N212" s="398"/>
      <c r="O212" s="398"/>
      <c r="P212" s="398"/>
      <c r="Q212" s="398"/>
      <c r="R212" s="398"/>
      <c r="S212" s="398"/>
      <c r="T212" s="398"/>
      <c r="U212" s="398"/>
      <c r="V212" s="398"/>
      <c r="W212" s="398"/>
      <c r="X212" s="398"/>
      <c r="Y212" s="398"/>
      <c r="Z212" s="398"/>
      <c r="AA212" s="398"/>
      <c r="AB212" s="398"/>
      <c r="AC212" s="398"/>
      <c r="AD212" s="398"/>
      <c r="AE212" s="398"/>
      <c r="AF212" s="398"/>
      <c r="AG212" s="398"/>
      <c r="AH212" s="398"/>
      <c r="AI212" s="398"/>
    </row>
    <row r="213" spans="1:35" s="75" customFormat="1" outlineLevel="1">
      <c r="A213" s="398"/>
      <c r="B213" s="640"/>
      <c r="C213" s="640"/>
      <c r="D213" s="398"/>
      <c r="E213" s="398"/>
      <c r="F213" s="398"/>
      <c r="G213" s="398"/>
      <c r="H213" s="398"/>
      <c r="I213" s="398"/>
      <c r="J213" s="398"/>
      <c r="K213" s="398"/>
      <c r="L213" s="398"/>
      <c r="M213" s="398"/>
      <c r="N213" s="398"/>
      <c r="O213" s="398"/>
      <c r="P213" s="398"/>
      <c r="Q213" s="398"/>
      <c r="R213" s="398"/>
      <c r="S213" s="398"/>
      <c r="T213" s="398"/>
      <c r="U213" s="398"/>
      <c r="V213" s="398"/>
      <c r="W213" s="398"/>
      <c r="X213" s="398"/>
      <c r="Y213" s="398"/>
      <c r="Z213" s="398"/>
      <c r="AA213" s="398"/>
      <c r="AB213" s="398"/>
      <c r="AC213" s="398"/>
      <c r="AD213" s="398"/>
      <c r="AE213" s="398"/>
      <c r="AF213" s="398"/>
      <c r="AG213" s="398"/>
      <c r="AH213" s="398"/>
      <c r="AI213" s="398"/>
    </row>
    <row r="214" spans="1:35" outlineLevel="1">
      <c r="A214" s="398"/>
      <c r="B214" s="77" t="s">
        <v>1136</v>
      </c>
      <c r="C214" s="398"/>
      <c r="D214" s="398"/>
      <c r="E214" s="398"/>
      <c r="F214" s="398"/>
      <c r="G214" s="398"/>
      <c r="H214" s="398"/>
      <c r="I214" s="398"/>
      <c r="J214" s="398"/>
      <c r="K214" s="398"/>
      <c r="L214" s="398"/>
      <c r="M214" s="398"/>
      <c r="N214" s="398"/>
      <c r="O214" s="398"/>
      <c r="P214" s="398"/>
      <c r="Q214" s="398"/>
      <c r="R214" s="398"/>
      <c r="S214" s="398"/>
      <c r="T214" s="398"/>
      <c r="U214" s="398"/>
      <c r="V214" s="398"/>
      <c r="W214" s="398"/>
      <c r="X214" s="398"/>
      <c r="Y214" s="398"/>
      <c r="Z214" s="398"/>
      <c r="AA214" s="398"/>
      <c r="AB214" s="398"/>
      <c r="AC214" s="398"/>
      <c r="AD214" s="398"/>
      <c r="AE214" s="398"/>
      <c r="AF214" s="398"/>
      <c r="AG214" s="398"/>
      <c r="AH214" s="398"/>
      <c r="AI214" s="398"/>
    </row>
    <row r="215" spans="1:35" ht="15" outlineLevel="1">
      <c r="A215" s="6" t="s">
        <v>984</v>
      </c>
      <c r="B215" s="77"/>
      <c r="C215" s="398"/>
      <c r="D215" s="398"/>
      <c r="E215" s="398"/>
      <c r="F215" s="398"/>
      <c r="G215" s="398"/>
      <c r="H215" s="398"/>
      <c r="I215" s="398"/>
      <c r="J215" s="398"/>
      <c r="K215" s="398"/>
      <c r="L215" s="398"/>
      <c r="M215" s="398"/>
      <c r="N215" s="398"/>
      <c r="O215" s="398"/>
      <c r="P215" s="398"/>
      <c r="Q215" s="398"/>
      <c r="R215" s="398"/>
      <c r="S215" s="398"/>
      <c r="T215" s="398"/>
      <c r="U215" s="398"/>
      <c r="V215" s="398"/>
      <c r="W215" s="398"/>
      <c r="X215" s="398"/>
      <c r="Y215" s="398"/>
      <c r="Z215" s="398"/>
      <c r="AA215" s="398"/>
      <c r="AB215" s="398"/>
      <c r="AC215" s="398"/>
      <c r="AD215" s="398"/>
      <c r="AE215" s="398"/>
      <c r="AF215" s="398"/>
      <c r="AG215" s="398"/>
      <c r="AH215" s="398"/>
      <c r="AI215" s="398"/>
    </row>
    <row r="216" spans="1:35" ht="25.5" outlineLevel="1">
      <c r="A216" s="398"/>
      <c r="B216" s="671" t="s">
        <v>1137</v>
      </c>
      <c r="C216" s="671" t="s">
        <v>1138</v>
      </c>
      <c r="D216" s="398"/>
      <c r="E216" s="398"/>
      <c r="F216" s="398"/>
      <c r="G216" s="398"/>
      <c r="H216" s="398"/>
      <c r="I216" s="398"/>
      <c r="J216" s="398"/>
      <c r="K216" s="398"/>
      <c r="L216" s="398"/>
      <c r="M216" s="398"/>
      <c r="N216" s="398"/>
      <c r="O216" s="398"/>
      <c r="P216" s="398"/>
      <c r="Q216" s="398"/>
      <c r="R216" s="398"/>
      <c r="S216" s="398"/>
      <c r="T216" s="398"/>
      <c r="U216" s="398"/>
      <c r="V216" s="398"/>
      <c r="W216" s="398"/>
      <c r="X216" s="398"/>
      <c r="Y216" s="398"/>
      <c r="Z216" s="398"/>
      <c r="AA216" s="398"/>
      <c r="AB216" s="398"/>
      <c r="AC216" s="398"/>
      <c r="AD216" s="398"/>
      <c r="AE216" s="398"/>
      <c r="AF216" s="398"/>
      <c r="AG216" s="398"/>
      <c r="AH216" s="398"/>
      <c r="AI216" s="398"/>
    </row>
    <row r="217" spans="1:35" outlineLevel="1">
      <c r="A217" s="398"/>
      <c r="B217" s="365" t="s">
        <v>1139</v>
      </c>
      <c r="C217" s="154">
        <v>1.1000000000000001</v>
      </c>
      <c r="D217" s="398"/>
      <c r="E217" s="398"/>
      <c r="F217" s="398"/>
      <c r="G217" s="398"/>
      <c r="H217" s="398"/>
      <c r="I217" s="398"/>
      <c r="J217" s="398"/>
      <c r="K217" s="398"/>
      <c r="L217" s="398"/>
      <c r="M217" s="398"/>
      <c r="N217" s="398"/>
      <c r="O217" s="398"/>
      <c r="P217" s="398"/>
      <c r="Q217" s="398"/>
      <c r="R217" s="398"/>
      <c r="S217" s="398"/>
      <c r="T217" s="398"/>
      <c r="U217" s="398"/>
      <c r="V217" s="398"/>
      <c r="W217" s="398"/>
      <c r="X217" s="398"/>
      <c r="Y217" s="398"/>
      <c r="Z217" s="398"/>
      <c r="AA217" s="398"/>
      <c r="AB217" s="398"/>
      <c r="AC217" s="398"/>
      <c r="AD217" s="398"/>
      <c r="AE217" s="398"/>
      <c r="AF217" s="398"/>
      <c r="AG217" s="398"/>
      <c r="AH217" s="398"/>
      <c r="AI217" s="398"/>
    </row>
    <row r="218" spans="1:35" outlineLevel="1">
      <c r="A218" s="398"/>
      <c r="B218" s="365" t="s">
        <v>1140</v>
      </c>
      <c r="C218" s="154">
        <v>1.05</v>
      </c>
      <c r="D218" s="398"/>
      <c r="E218" s="398"/>
      <c r="F218" s="398"/>
      <c r="G218" s="398"/>
      <c r="H218" s="398"/>
      <c r="I218" s="398"/>
      <c r="J218" s="398"/>
      <c r="K218" s="398"/>
      <c r="L218" s="398"/>
      <c r="M218" s="398"/>
      <c r="N218" s="398"/>
      <c r="O218" s="398"/>
      <c r="P218" s="398"/>
      <c r="Q218" s="398"/>
      <c r="R218" s="398"/>
      <c r="S218" s="398"/>
      <c r="T218" s="398"/>
      <c r="U218" s="398"/>
      <c r="V218" s="398"/>
      <c r="W218" s="398"/>
      <c r="X218" s="398"/>
      <c r="Y218" s="398"/>
      <c r="Z218" s="398"/>
      <c r="AA218" s="398"/>
      <c r="AB218" s="398"/>
      <c r="AC218" s="398"/>
      <c r="AD218" s="398"/>
      <c r="AE218" s="398"/>
      <c r="AF218" s="398"/>
      <c r="AG218" s="398"/>
      <c r="AH218" s="398"/>
      <c r="AI218" s="398"/>
    </row>
    <row r="219" spans="1:35" outlineLevel="1">
      <c r="A219" s="398"/>
      <c r="B219" s="365" t="s">
        <v>141</v>
      </c>
      <c r="C219" s="154">
        <v>1</v>
      </c>
      <c r="D219" s="398"/>
      <c r="E219" s="398"/>
      <c r="F219" s="398"/>
      <c r="G219" s="398"/>
      <c r="H219" s="398"/>
      <c r="I219" s="398"/>
      <c r="J219" s="398"/>
      <c r="K219" s="398"/>
      <c r="L219" s="398"/>
      <c r="M219" s="398"/>
      <c r="N219" s="398"/>
      <c r="O219" s="398"/>
      <c r="P219" s="398"/>
      <c r="Q219" s="398"/>
      <c r="R219" s="398"/>
      <c r="S219" s="398"/>
      <c r="T219" s="398"/>
      <c r="U219" s="398"/>
      <c r="V219" s="398"/>
      <c r="W219" s="398"/>
      <c r="X219" s="398"/>
      <c r="Y219" s="398"/>
      <c r="Z219" s="398"/>
      <c r="AA219" s="398"/>
      <c r="AB219" s="398"/>
      <c r="AC219" s="398"/>
      <c r="AD219" s="398"/>
      <c r="AE219" s="398"/>
      <c r="AF219" s="398"/>
      <c r="AG219" s="398"/>
      <c r="AH219" s="398"/>
      <c r="AI219" s="398"/>
    </row>
    <row r="220" spans="1:35" ht="13.5" outlineLevel="1" thickBot="1">
      <c r="A220" s="398"/>
      <c r="B220" s="365" t="s">
        <v>1141</v>
      </c>
      <c r="C220" s="154">
        <v>0.95</v>
      </c>
      <c r="D220" s="398"/>
      <c r="E220" s="398"/>
      <c r="F220" s="398"/>
      <c r="G220" s="398"/>
      <c r="H220" s="398"/>
      <c r="I220" s="398"/>
      <c r="J220" s="398"/>
      <c r="K220" s="398"/>
      <c r="L220" s="398"/>
      <c r="M220" s="398"/>
      <c r="N220" s="398"/>
      <c r="O220" s="398"/>
      <c r="P220" s="398"/>
      <c r="Q220" s="398"/>
      <c r="R220" s="398"/>
      <c r="S220" s="398"/>
      <c r="T220" s="398"/>
      <c r="U220" s="398"/>
      <c r="V220" s="398"/>
      <c r="W220" s="398"/>
      <c r="X220" s="398"/>
      <c r="Y220" s="398"/>
      <c r="Z220" s="398"/>
      <c r="AA220" s="398"/>
      <c r="AB220" s="398"/>
      <c r="AC220" s="398"/>
      <c r="AD220" s="398"/>
      <c r="AE220" s="398"/>
      <c r="AF220" s="398"/>
      <c r="AG220" s="398"/>
      <c r="AH220" s="398"/>
      <c r="AI220" s="398"/>
    </row>
    <row r="221" spans="1:35" ht="13.5" outlineLevel="1" thickTop="1">
      <c r="A221" s="398"/>
      <c r="B221" s="283">
        <f>MATCH(SiteLocation,SiteLocationList,0)</f>
        <v>3</v>
      </c>
      <c r="C221" s="69">
        <f>INDEX(C217:C220,B221)</f>
        <v>1</v>
      </c>
      <c r="D221" s="36" t="s">
        <v>1142</v>
      </c>
      <c r="E221" s="398"/>
      <c r="F221" s="398"/>
      <c r="G221" s="398"/>
      <c r="H221" s="398"/>
      <c r="I221" s="398"/>
      <c r="J221" s="398"/>
      <c r="K221" s="398"/>
      <c r="L221" s="398"/>
      <c r="M221" s="398"/>
      <c r="N221" s="398"/>
      <c r="O221" s="398"/>
      <c r="P221" s="398"/>
      <c r="Q221" s="398"/>
      <c r="R221" s="398"/>
      <c r="S221" s="398"/>
      <c r="T221" s="398"/>
      <c r="U221" s="398"/>
      <c r="V221" s="398"/>
      <c r="W221" s="398"/>
      <c r="X221" s="398"/>
      <c r="Y221" s="398"/>
      <c r="Z221" s="398"/>
      <c r="AA221" s="398"/>
      <c r="AB221" s="398"/>
      <c r="AC221" s="398"/>
      <c r="AD221" s="398"/>
      <c r="AE221" s="398"/>
      <c r="AF221" s="398"/>
      <c r="AG221" s="398"/>
      <c r="AH221" s="398"/>
      <c r="AI221" s="398"/>
    </row>
    <row r="222" spans="1:35" outlineLevel="1">
      <c r="A222" s="398"/>
      <c r="B222" s="77" t="s">
        <v>980</v>
      </c>
      <c r="C222" s="398"/>
      <c r="D222" s="398"/>
      <c r="E222" s="398"/>
      <c r="F222" s="398"/>
      <c r="G222" s="398"/>
      <c r="H222" s="398"/>
      <c r="I222" s="398"/>
      <c r="J222" s="398"/>
      <c r="K222" s="398"/>
      <c r="L222" s="398"/>
      <c r="M222" s="398"/>
      <c r="N222" s="398"/>
      <c r="O222" s="398"/>
      <c r="P222" s="398"/>
      <c r="Q222" s="398"/>
      <c r="R222" s="398"/>
      <c r="S222" s="398"/>
      <c r="T222" s="398"/>
      <c r="U222" s="398"/>
      <c r="V222" s="398"/>
      <c r="W222" s="398"/>
      <c r="X222" s="398"/>
      <c r="Y222" s="398"/>
      <c r="Z222" s="398"/>
      <c r="AA222" s="398"/>
      <c r="AB222" s="398"/>
      <c r="AC222" s="398"/>
      <c r="AD222" s="398"/>
      <c r="AE222" s="398"/>
      <c r="AF222" s="398"/>
      <c r="AG222" s="398"/>
      <c r="AH222" s="398"/>
      <c r="AI222" s="398"/>
    </row>
    <row r="223" spans="1:35" ht="15" outlineLevel="1">
      <c r="A223" s="6" t="s">
        <v>1143</v>
      </c>
      <c r="B223" s="77"/>
      <c r="C223" s="398"/>
      <c r="D223" s="398"/>
      <c r="E223" s="398"/>
      <c r="F223" s="398"/>
      <c r="G223" s="398"/>
      <c r="H223" s="398"/>
      <c r="I223" s="398"/>
      <c r="J223" s="398"/>
      <c r="K223" s="398"/>
      <c r="L223" s="398"/>
      <c r="M223" s="398"/>
      <c r="N223" s="398"/>
      <c r="O223" s="398"/>
      <c r="P223" s="398"/>
      <c r="Q223" s="398"/>
      <c r="R223" s="398"/>
      <c r="S223" s="398"/>
      <c r="T223" s="398"/>
      <c r="U223" s="398"/>
      <c r="V223" s="398"/>
      <c r="W223" s="398"/>
      <c r="X223" s="398"/>
      <c r="Y223" s="398"/>
      <c r="Z223" s="398"/>
      <c r="AA223" s="398"/>
      <c r="AB223" s="398"/>
      <c r="AC223" s="398"/>
      <c r="AD223" s="398"/>
      <c r="AE223" s="398"/>
      <c r="AF223" s="398"/>
      <c r="AG223" s="398"/>
      <c r="AH223" s="398"/>
      <c r="AI223" s="398"/>
    </row>
    <row r="224" spans="1:35" ht="25.5" outlineLevel="1">
      <c r="A224" s="398"/>
      <c r="B224" s="671" t="s">
        <v>1143</v>
      </c>
      <c r="C224" s="671" t="s">
        <v>1144</v>
      </c>
      <c r="D224" s="671" t="s">
        <v>1138</v>
      </c>
      <c r="E224" s="398"/>
      <c r="F224" s="398"/>
      <c r="G224" s="398"/>
      <c r="H224" s="398"/>
      <c r="I224" s="398"/>
      <c r="J224" s="398"/>
      <c r="K224" s="398"/>
      <c r="L224" s="398"/>
      <c r="M224" s="398"/>
      <c r="N224" s="398"/>
      <c r="O224" s="398"/>
      <c r="P224" s="398"/>
      <c r="Q224" s="398"/>
      <c r="R224" s="398"/>
      <c r="S224" s="398"/>
      <c r="T224" s="398"/>
      <c r="U224" s="398"/>
      <c r="V224" s="398"/>
      <c r="W224" s="398"/>
      <c r="X224" s="398"/>
      <c r="Y224" s="398"/>
      <c r="Z224" s="398"/>
      <c r="AA224" s="398"/>
      <c r="AB224" s="398"/>
      <c r="AC224" s="398"/>
      <c r="AD224" s="398"/>
      <c r="AE224" s="398"/>
      <c r="AF224" s="398"/>
      <c r="AG224" s="398"/>
      <c r="AH224" s="398"/>
      <c r="AI224" s="398"/>
    </row>
    <row r="225" spans="1:35" outlineLevel="1">
      <c r="A225" s="398"/>
      <c r="B225" s="36" t="s">
        <v>1145</v>
      </c>
      <c r="C225" s="107">
        <v>50</v>
      </c>
      <c r="D225" s="154">
        <v>0.88779807335370431</v>
      </c>
      <c r="E225" s="270" t="s">
        <v>1146</v>
      </c>
      <c r="F225" s="398"/>
      <c r="G225" s="398"/>
      <c r="H225" s="398"/>
      <c r="I225" s="398"/>
      <c r="J225" s="398"/>
      <c r="K225" s="398"/>
      <c r="L225" s="398"/>
      <c r="M225" s="398"/>
      <c r="N225" s="398"/>
      <c r="O225" s="398"/>
      <c r="P225" s="398"/>
      <c r="Q225" s="398"/>
      <c r="R225" s="398"/>
      <c r="S225" s="398"/>
      <c r="T225" s="398"/>
      <c r="U225" s="398"/>
      <c r="V225" s="398"/>
      <c r="W225" s="398"/>
      <c r="X225" s="398"/>
      <c r="Y225" s="398"/>
      <c r="Z225" s="398"/>
      <c r="AA225" s="398"/>
      <c r="AB225" s="398"/>
      <c r="AC225" s="398"/>
      <c r="AD225" s="398"/>
      <c r="AE225" s="398"/>
      <c r="AF225" s="398"/>
      <c r="AG225" s="398"/>
      <c r="AH225" s="398"/>
      <c r="AI225" s="398"/>
    </row>
    <row r="226" spans="1:35" outlineLevel="1">
      <c r="A226" s="398"/>
      <c r="B226" s="36" t="s">
        <v>1147</v>
      </c>
      <c r="C226" s="107">
        <v>400</v>
      </c>
      <c r="D226" s="154">
        <v>0.98589176511866494</v>
      </c>
      <c r="E226" s="270" t="s">
        <v>1146</v>
      </c>
      <c r="F226" s="398"/>
      <c r="G226" s="398"/>
      <c r="H226" s="398"/>
      <c r="I226" s="398"/>
      <c r="J226" s="398"/>
      <c r="K226" s="398"/>
      <c r="L226" s="398"/>
      <c r="M226" s="398"/>
      <c r="N226" s="398"/>
      <c r="O226" s="398"/>
      <c r="P226" s="398"/>
      <c r="Q226" s="398"/>
      <c r="R226" s="398"/>
      <c r="S226" s="398"/>
      <c r="T226" s="398"/>
      <c r="U226" s="398"/>
      <c r="V226" s="398"/>
      <c r="W226" s="398"/>
      <c r="X226" s="398"/>
      <c r="Y226" s="398"/>
      <c r="Z226" s="398"/>
      <c r="AA226" s="398"/>
      <c r="AB226" s="398"/>
      <c r="AC226" s="398"/>
      <c r="AD226" s="398"/>
      <c r="AE226" s="398"/>
      <c r="AF226" s="398"/>
      <c r="AG226" s="398"/>
      <c r="AH226" s="398"/>
      <c r="AI226" s="398"/>
    </row>
    <row r="227" spans="1:35" outlineLevel="1">
      <c r="A227" s="398"/>
      <c r="B227" s="36" t="s">
        <v>1148</v>
      </c>
      <c r="C227" s="107">
        <v>40000</v>
      </c>
      <c r="D227" s="154">
        <v>1.0894451812011592</v>
      </c>
      <c r="E227" s="270" t="s">
        <v>1146</v>
      </c>
      <c r="F227" s="398"/>
      <c r="G227" s="398"/>
      <c r="H227" s="398"/>
      <c r="I227" s="398"/>
      <c r="J227" s="398"/>
      <c r="K227" s="398"/>
      <c r="L227" s="398"/>
      <c r="M227" s="398"/>
      <c r="N227" s="398"/>
      <c r="O227" s="398"/>
      <c r="P227" s="398"/>
      <c r="Q227" s="398"/>
      <c r="R227" s="398"/>
      <c r="S227" s="398"/>
      <c r="T227" s="398"/>
      <c r="U227" s="398"/>
      <c r="V227" s="398"/>
      <c r="W227" s="398"/>
      <c r="X227" s="398"/>
      <c r="Y227" s="398"/>
      <c r="Z227" s="398"/>
      <c r="AA227" s="398"/>
      <c r="AB227" s="398"/>
      <c r="AC227" s="398"/>
      <c r="AD227" s="398"/>
      <c r="AE227" s="398"/>
      <c r="AF227" s="398"/>
      <c r="AG227" s="398"/>
      <c r="AH227" s="398"/>
      <c r="AI227" s="398"/>
    </row>
    <row r="228" spans="1:35" outlineLevel="1">
      <c r="A228" s="398"/>
      <c r="B228" s="36" t="s">
        <v>1149</v>
      </c>
      <c r="C228" s="107">
        <v>400000</v>
      </c>
      <c r="D228" s="154">
        <v>1.1512827936340195</v>
      </c>
      <c r="E228" s="270" t="s">
        <v>1146</v>
      </c>
      <c r="F228" s="398"/>
      <c r="G228" s="398"/>
      <c r="H228" s="398"/>
      <c r="I228" s="398"/>
      <c r="J228" s="398"/>
      <c r="K228" s="398"/>
      <c r="L228" s="398"/>
      <c r="M228" s="398"/>
      <c r="N228" s="398"/>
      <c r="O228" s="398"/>
      <c r="P228" s="398"/>
      <c r="Q228" s="398"/>
      <c r="R228" s="398"/>
      <c r="S228" s="398"/>
      <c r="T228" s="398"/>
      <c r="U228" s="398"/>
      <c r="V228" s="398"/>
      <c r="W228" s="398"/>
      <c r="X228" s="398"/>
      <c r="Y228" s="398"/>
      <c r="Z228" s="398"/>
      <c r="AA228" s="398"/>
      <c r="AB228" s="398"/>
      <c r="AC228" s="398"/>
      <c r="AD228" s="398"/>
      <c r="AE228" s="398"/>
      <c r="AF228" s="398"/>
      <c r="AG228" s="398"/>
      <c r="AH228" s="398"/>
      <c r="AI228" s="398"/>
    </row>
    <row r="229" spans="1:35" outlineLevel="1">
      <c r="A229" s="398"/>
      <c r="B229" s="36" t="s">
        <v>1142</v>
      </c>
      <c r="C229" s="107">
        <f>Employees</f>
        <v>5000</v>
      </c>
      <c r="D229" s="154">
        <f>0.045*LN(C229)+0.64</f>
        <v>1.0232736936137308</v>
      </c>
      <c r="E229" s="398"/>
      <c r="F229" s="398"/>
      <c r="G229" s="398"/>
      <c r="H229" s="398"/>
      <c r="I229" s="398"/>
      <c r="J229" s="398"/>
      <c r="K229" s="398"/>
      <c r="L229" s="398"/>
      <c r="M229" s="398"/>
      <c r="N229" s="398"/>
      <c r="O229" s="398"/>
      <c r="P229" s="398"/>
      <c r="Q229" s="398"/>
      <c r="R229" s="398"/>
      <c r="S229" s="398"/>
      <c r="T229" s="398"/>
      <c r="U229" s="398"/>
      <c r="V229" s="398"/>
      <c r="W229" s="398"/>
      <c r="X229" s="398"/>
      <c r="Y229" s="398"/>
      <c r="Z229" s="398"/>
      <c r="AA229" s="398"/>
      <c r="AB229" s="398"/>
      <c r="AC229" s="398"/>
      <c r="AD229" s="398"/>
      <c r="AE229" s="398"/>
      <c r="AF229" s="398"/>
      <c r="AG229" s="398"/>
      <c r="AH229" s="398"/>
      <c r="AI229" s="398"/>
    </row>
    <row r="230" spans="1:35" outlineLevel="1">
      <c r="A230" s="398"/>
      <c r="B230" s="77" t="s">
        <v>1150</v>
      </c>
      <c r="C230" s="398"/>
      <c r="D230" s="398"/>
      <c r="E230" s="398"/>
      <c r="F230" s="398"/>
      <c r="G230" s="398"/>
      <c r="H230" s="398"/>
      <c r="I230" s="398"/>
      <c r="J230" s="398"/>
      <c r="K230" s="398"/>
      <c r="L230" s="398"/>
      <c r="M230" s="398"/>
      <c r="N230" s="398"/>
      <c r="O230" s="398"/>
      <c r="P230" s="398"/>
      <c r="Q230" s="398"/>
      <c r="R230" s="398"/>
      <c r="S230" s="398"/>
      <c r="T230" s="398"/>
      <c r="U230" s="398"/>
      <c r="V230" s="398"/>
      <c r="W230" s="398"/>
      <c r="X230" s="398"/>
      <c r="Y230" s="398"/>
      <c r="Z230" s="398"/>
      <c r="AA230" s="398"/>
      <c r="AB230" s="398"/>
      <c r="AC230" s="398"/>
      <c r="AD230" s="398"/>
      <c r="AE230" s="398"/>
      <c r="AF230" s="398"/>
      <c r="AG230" s="398"/>
      <c r="AH230" s="398"/>
      <c r="AI230" s="398"/>
    </row>
    <row r="231" spans="1:35" ht="15">
      <c r="A231" s="6" t="s">
        <v>1151</v>
      </c>
      <c r="B231" s="77"/>
      <c r="C231" s="398"/>
      <c r="D231" s="398"/>
      <c r="E231" s="398"/>
      <c r="F231" s="398"/>
      <c r="G231" s="398"/>
      <c r="H231" s="398"/>
      <c r="I231" s="398"/>
      <c r="J231" s="398"/>
      <c r="K231" s="398"/>
      <c r="L231" s="398"/>
      <c r="M231" s="398"/>
      <c r="N231" s="398"/>
      <c r="O231" s="398"/>
      <c r="P231" s="398"/>
      <c r="Q231" s="398"/>
      <c r="R231" s="398"/>
      <c r="S231" s="398"/>
      <c r="T231" s="398"/>
      <c r="U231" s="398" t="s">
        <v>1152</v>
      </c>
      <c r="V231" s="398"/>
      <c r="W231" s="398"/>
      <c r="X231" s="398"/>
      <c r="Y231" s="398"/>
      <c r="Z231" s="398"/>
      <c r="AA231" s="398"/>
      <c r="AB231" s="398"/>
      <c r="AC231" s="398"/>
      <c r="AD231" s="398"/>
      <c r="AE231" s="398"/>
      <c r="AF231" s="398"/>
      <c r="AG231" s="398"/>
      <c r="AH231" s="398"/>
      <c r="AI231" s="398"/>
    </row>
    <row r="232" spans="1:35" s="1" customFormat="1" ht="38.25">
      <c r="A232" s="398"/>
      <c r="B232" s="671" t="s">
        <v>1153</v>
      </c>
      <c r="C232" s="671" t="s">
        <v>1154</v>
      </c>
      <c r="D232" s="671"/>
      <c r="E232" s="671"/>
      <c r="F232" s="398"/>
      <c r="G232" s="398"/>
      <c r="H232" s="398"/>
      <c r="I232" s="398"/>
      <c r="J232" s="398"/>
      <c r="K232" s="398"/>
      <c r="L232" s="398"/>
      <c r="M232" s="398"/>
      <c r="N232" s="398"/>
      <c r="O232" s="398"/>
      <c r="P232" s="398"/>
      <c r="Q232" s="398"/>
      <c r="R232" s="398"/>
      <c r="S232" s="398"/>
      <c r="T232" s="398"/>
      <c r="U232" s="398"/>
      <c r="V232" s="398"/>
      <c r="W232" s="398"/>
      <c r="X232" s="398"/>
      <c r="Y232" s="398"/>
      <c r="Z232" s="398"/>
      <c r="AA232" s="398"/>
      <c r="AB232" s="398"/>
      <c r="AC232" s="398"/>
      <c r="AD232" s="398"/>
      <c r="AE232" s="398"/>
      <c r="AF232" s="398"/>
      <c r="AG232" s="398"/>
      <c r="AH232" s="398"/>
      <c r="AI232" s="398"/>
    </row>
    <row r="233" spans="1:35" s="1" customFormat="1" ht="27">
      <c r="A233" s="398"/>
      <c r="B233" s="365" t="s">
        <v>67</v>
      </c>
      <c r="C233" s="107">
        <v>0.25</v>
      </c>
      <c r="D233" s="107"/>
      <c r="E233" s="107"/>
      <c r="F233" s="398"/>
      <c r="G233" s="366"/>
      <c r="H233" s="398"/>
      <c r="I233" s="398"/>
      <c r="J233" s="398"/>
      <c r="K233" s="398"/>
      <c r="L233" s="398"/>
      <c r="M233" s="398"/>
      <c r="N233" s="398"/>
      <c r="O233" s="398"/>
      <c r="P233" s="398"/>
      <c r="Q233" s="398"/>
      <c r="R233" s="398"/>
      <c r="S233" s="398"/>
      <c r="T233" s="398"/>
      <c r="U233" s="398"/>
      <c r="V233" s="398"/>
      <c r="W233" s="398"/>
      <c r="X233" s="398"/>
      <c r="Y233" s="398"/>
      <c r="Z233" s="398"/>
      <c r="AA233" s="398"/>
      <c r="AB233" s="398"/>
      <c r="AC233" s="398"/>
      <c r="AD233" s="398"/>
      <c r="AE233" s="398"/>
      <c r="AF233" s="398"/>
      <c r="AG233" s="398"/>
      <c r="AH233" s="398"/>
      <c r="AI233" s="398"/>
    </row>
    <row r="234" spans="1:35" s="1" customFormat="1">
      <c r="A234" s="398"/>
      <c r="B234" s="365" t="s">
        <v>1155</v>
      </c>
      <c r="C234" s="107">
        <v>0.5</v>
      </c>
      <c r="D234" s="107"/>
      <c r="E234" s="107"/>
      <c r="F234" s="398"/>
      <c r="G234" s="398"/>
      <c r="H234" s="398"/>
      <c r="I234" s="398"/>
      <c r="J234" s="398"/>
      <c r="K234" s="398"/>
      <c r="L234" s="398"/>
      <c r="M234" s="398"/>
      <c r="N234" s="398"/>
      <c r="O234" s="398"/>
      <c r="P234" s="398"/>
      <c r="Q234" s="398"/>
      <c r="R234" s="398"/>
      <c r="S234" s="398"/>
      <c r="T234" s="398"/>
      <c r="U234" s="398"/>
      <c r="V234" s="398"/>
      <c r="W234" s="398"/>
      <c r="X234" s="398"/>
      <c r="Y234" s="398"/>
      <c r="Z234" s="398"/>
      <c r="AA234" s="398"/>
      <c r="AB234" s="398"/>
      <c r="AC234" s="398"/>
      <c r="AD234" s="398"/>
      <c r="AE234" s="398"/>
      <c r="AF234" s="398"/>
      <c r="AG234" s="398"/>
      <c r="AH234" s="398"/>
      <c r="AI234" s="398"/>
    </row>
    <row r="235" spans="1:35" s="1" customFormat="1" ht="13.5" thickBot="1">
      <c r="A235" s="398"/>
      <c r="B235" s="365" t="s">
        <v>1156</v>
      </c>
      <c r="C235" s="107">
        <v>1</v>
      </c>
      <c r="D235" s="107"/>
      <c r="E235" s="107"/>
      <c r="F235" s="398"/>
      <c r="G235" s="398"/>
      <c r="H235" s="398"/>
      <c r="I235" s="398"/>
      <c r="J235" s="398"/>
      <c r="K235" s="398"/>
      <c r="L235" s="398"/>
      <c r="M235" s="398"/>
      <c r="N235" s="398"/>
      <c r="O235" s="398"/>
      <c r="P235" s="398"/>
      <c r="Q235" s="398"/>
      <c r="R235" s="398"/>
      <c r="S235" s="398"/>
      <c r="T235" s="398"/>
      <c r="U235" s="398"/>
      <c r="V235" s="398"/>
      <c r="W235" s="398"/>
      <c r="X235" s="398"/>
      <c r="Y235" s="398"/>
      <c r="Z235" s="398"/>
      <c r="AA235" s="398"/>
      <c r="AB235" s="398"/>
      <c r="AC235" s="398"/>
      <c r="AD235" s="398"/>
      <c r="AE235" s="398"/>
      <c r="AF235" s="398"/>
      <c r="AG235" s="398"/>
      <c r="AH235" s="398"/>
      <c r="AI235" s="398"/>
    </row>
    <row r="236" spans="1:35" s="1" customFormat="1" ht="13.5" thickTop="1">
      <c r="A236" s="398"/>
      <c r="B236" s="283" t="str">
        <f>ProjectScaleSelected</f>
        <v>Minor (e.g. enhancement/upgrade)</v>
      </c>
      <c r="C236" s="283">
        <f>INDEX(C233:C235,MATCH(ProjectScaleSelected,ProjectScaleList,0))</f>
        <v>0.25</v>
      </c>
      <c r="D236" s="283">
        <f>INDEX(D233:D235,MATCH(ProjectScaleSelected,ProjectScaleList,0))</f>
        <v>0</v>
      </c>
      <c r="E236" s="283">
        <f>INDEX(E233:E235,MATCH(ProjectScaleSelected,ProjectScaleList,0))</f>
        <v>0</v>
      </c>
      <c r="F236" s="398"/>
      <c r="G236" s="398"/>
      <c r="H236" s="398"/>
      <c r="I236" s="398"/>
      <c r="J236" s="398"/>
      <c r="K236" s="398"/>
      <c r="L236" s="398"/>
      <c r="M236" s="398"/>
      <c r="N236" s="398"/>
      <c r="O236" s="398"/>
      <c r="P236" s="398"/>
      <c r="Q236" s="398"/>
      <c r="R236" s="398"/>
      <c r="S236" s="398"/>
      <c r="T236" s="398"/>
      <c r="U236" s="398"/>
      <c r="V236" s="398"/>
      <c r="W236" s="398"/>
      <c r="X236" s="398"/>
      <c r="Y236" s="398"/>
      <c r="Z236" s="398"/>
      <c r="AA236" s="398"/>
      <c r="AB236" s="398"/>
      <c r="AC236" s="398"/>
      <c r="AD236" s="398"/>
      <c r="AE236" s="398"/>
      <c r="AF236" s="398"/>
      <c r="AG236" s="398"/>
      <c r="AH236" s="398"/>
      <c r="AI236" s="398"/>
    </row>
    <row r="237" spans="1:35" s="1" customFormat="1">
      <c r="A237" s="398"/>
      <c r="B237" s="398"/>
      <c r="C237" s="270" t="s">
        <v>1157</v>
      </c>
      <c r="D237" s="270" t="s">
        <v>1157</v>
      </c>
      <c r="E237" s="270" t="s">
        <v>1157</v>
      </c>
      <c r="F237" s="398"/>
      <c r="G237" s="398"/>
      <c r="H237" s="398"/>
      <c r="I237" s="398"/>
      <c r="J237" s="398"/>
      <c r="K237" s="398"/>
      <c r="L237" s="398"/>
      <c r="M237" s="398"/>
      <c r="N237" s="398"/>
      <c r="O237" s="398"/>
      <c r="P237" s="398"/>
      <c r="Q237" s="398"/>
      <c r="R237" s="398"/>
      <c r="S237" s="398"/>
      <c r="T237" s="398"/>
      <c r="U237" s="398"/>
      <c r="V237" s="398"/>
      <c r="W237" s="398"/>
      <c r="X237" s="398"/>
      <c r="Y237" s="398"/>
      <c r="Z237" s="398"/>
      <c r="AA237" s="398"/>
      <c r="AB237" s="398"/>
      <c r="AC237" s="398"/>
      <c r="AD237" s="398"/>
      <c r="AE237" s="398"/>
      <c r="AF237" s="398"/>
      <c r="AG237" s="398"/>
      <c r="AH237" s="398"/>
      <c r="AI237" s="398"/>
    </row>
    <row r="238" spans="1:35" s="105" customFormat="1" ht="15">
      <c r="A238" s="6" t="s">
        <v>99</v>
      </c>
      <c r="B238" s="398"/>
      <c r="C238" s="398"/>
      <c r="D238" s="398"/>
      <c r="E238" s="398"/>
      <c r="F238" s="398"/>
      <c r="G238" s="398"/>
      <c r="H238" s="398"/>
      <c r="I238" s="398"/>
      <c r="J238" s="398"/>
      <c r="K238" s="398"/>
      <c r="L238" s="398"/>
      <c r="M238" s="398"/>
      <c r="N238" s="398"/>
      <c r="O238" s="398"/>
      <c r="P238" s="398"/>
      <c r="Q238" s="398"/>
      <c r="R238" s="398"/>
      <c r="S238" s="398"/>
      <c r="T238" s="398"/>
      <c r="U238" s="398"/>
      <c r="V238" s="398"/>
      <c r="W238" s="398"/>
      <c r="X238" s="398"/>
      <c r="Y238" s="398"/>
      <c r="Z238" s="398"/>
      <c r="AA238" s="398"/>
      <c r="AB238" s="398"/>
      <c r="AC238" s="398"/>
      <c r="AD238" s="398"/>
      <c r="AE238" s="398"/>
      <c r="AF238" s="398"/>
      <c r="AG238" s="398"/>
      <c r="AH238" s="398"/>
      <c r="AI238" s="398"/>
    </row>
    <row r="239" spans="1:35" s="105" customFormat="1">
      <c r="A239" s="398"/>
      <c r="B239" s="671" t="s">
        <v>1158</v>
      </c>
      <c r="C239" s="398"/>
      <c r="D239" s="398"/>
      <c r="E239" s="398"/>
      <c r="F239" s="398"/>
      <c r="G239" s="398"/>
      <c r="H239" s="398"/>
      <c r="I239" s="398"/>
      <c r="J239" s="398"/>
      <c r="K239" s="398"/>
      <c r="L239" s="398"/>
      <c r="M239" s="398"/>
      <c r="N239" s="398"/>
      <c r="O239" s="398"/>
      <c r="P239" s="398"/>
      <c r="Q239" s="398"/>
      <c r="R239" s="398"/>
      <c r="S239" s="398"/>
      <c r="T239" s="398"/>
      <c r="U239" s="398"/>
      <c r="V239" s="398"/>
      <c r="W239" s="398"/>
      <c r="X239" s="398"/>
      <c r="Y239" s="398"/>
      <c r="Z239" s="398"/>
      <c r="AA239" s="398"/>
      <c r="AB239" s="398"/>
      <c r="AC239" s="398"/>
      <c r="AD239" s="398"/>
      <c r="AE239" s="398"/>
      <c r="AF239" s="398"/>
      <c r="AG239" s="398"/>
      <c r="AH239" s="398"/>
      <c r="AI239" s="398"/>
    </row>
    <row r="240" spans="1:35" s="105" customFormat="1" ht="27">
      <c r="A240" s="398"/>
      <c r="B240" s="365" t="s">
        <v>100</v>
      </c>
      <c r="C240" s="398"/>
      <c r="D240" s="398"/>
      <c r="E240" s="398"/>
      <c r="F240" s="398"/>
      <c r="G240" s="366"/>
      <c r="H240" s="398"/>
      <c r="I240" s="398"/>
      <c r="J240" s="398"/>
      <c r="K240" s="398"/>
      <c r="L240" s="398"/>
      <c r="M240" s="398"/>
      <c r="N240" s="398"/>
      <c r="O240" s="398"/>
      <c r="P240" s="398"/>
      <c r="Q240" s="398"/>
      <c r="R240" s="398"/>
      <c r="S240" s="398"/>
      <c r="T240" s="398"/>
      <c r="U240" s="398"/>
      <c r="V240" s="398"/>
      <c r="W240" s="398"/>
      <c r="X240" s="398"/>
      <c r="Y240" s="398"/>
      <c r="Z240" s="398"/>
      <c r="AA240" s="398"/>
      <c r="AB240" s="398"/>
      <c r="AC240" s="398"/>
      <c r="AD240" s="398"/>
      <c r="AE240" s="398"/>
      <c r="AF240" s="398"/>
      <c r="AG240" s="398"/>
      <c r="AH240" s="398"/>
      <c r="AI240" s="398"/>
    </row>
    <row r="241" spans="1:35" s="105" customFormat="1" ht="27">
      <c r="A241" s="398"/>
      <c r="B241" s="365" t="s">
        <v>1159</v>
      </c>
      <c r="C241" s="398"/>
      <c r="D241" s="398"/>
      <c r="E241" s="398"/>
      <c r="F241" s="398"/>
      <c r="G241" s="366"/>
      <c r="H241" s="398"/>
      <c r="I241" s="398"/>
      <c r="J241" s="398"/>
      <c r="K241" s="398"/>
      <c r="L241" s="398"/>
      <c r="M241" s="398"/>
      <c r="N241" s="398"/>
      <c r="O241" s="398"/>
      <c r="P241" s="398"/>
      <c r="Q241" s="398"/>
      <c r="R241" s="398"/>
      <c r="S241" s="398"/>
      <c r="T241" s="398"/>
      <c r="U241" s="398"/>
      <c r="V241" s="398"/>
      <c r="W241" s="398"/>
      <c r="X241" s="398"/>
      <c r="Y241" s="398"/>
      <c r="Z241" s="398"/>
      <c r="AA241" s="398"/>
      <c r="AB241" s="398"/>
      <c r="AC241" s="398"/>
      <c r="AD241" s="398"/>
      <c r="AE241" s="398"/>
      <c r="AF241" s="398"/>
      <c r="AG241" s="398"/>
      <c r="AH241" s="398"/>
      <c r="AI241" s="398"/>
    </row>
    <row r="242" spans="1:35" s="105" customFormat="1">
      <c r="A242" s="398"/>
      <c r="B242" s="365" t="s">
        <v>1160</v>
      </c>
      <c r="C242" s="398"/>
      <c r="D242" s="398"/>
      <c r="E242" s="398"/>
      <c r="F242" s="398"/>
      <c r="G242" s="398"/>
      <c r="H242" s="398"/>
      <c r="I242" s="398"/>
      <c r="J242" s="398"/>
      <c r="K242" s="398"/>
      <c r="L242" s="398"/>
      <c r="M242" s="398"/>
      <c r="N242" s="398"/>
      <c r="O242" s="398"/>
      <c r="P242" s="398"/>
      <c r="Q242" s="398"/>
      <c r="R242" s="398"/>
      <c r="S242" s="398"/>
      <c r="T242" s="398"/>
      <c r="U242" s="398"/>
      <c r="V242" s="398"/>
      <c r="W242" s="398"/>
      <c r="X242" s="398"/>
      <c r="Y242" s="398"/>
      <c r="Z242" s="398"/>
      <c r="AA242" s="398"/>
      <c r="AB242" s="398"/>
      <c r="AC242" s="398"/>
      <c r="AD242" s="398"/>
      <c r="AE242" s="398"/>
      <c r="AF242" s="398"/>
      <c r="AG242" s="398"/>
      <c r="AH242" s="398"/>
      <c r="AI242" s="398"/>
    </row>
    <row r="243" spans="1:35" s="105" customFormat="1">
      <c r="A243" s="398"/>
      <c r="B243" s="365" t="s">
        <v>1161</v>
      </c>
      <c r="C243" s="398"/>
      <c r="D243" s="398"/>
      <c r="E243" s="398"/>
      <c r="F243" s="398"/>
      <c r="G243" s="398"/>
      <c r="H243" s="398"/>
      <c r="I243" s="398"/>
      <c r="J243" s="398"/>
      <c r="K243" s="398"/>
      <c r="L243" s="398"/>
      <c r="M243" s="398"/>
      <c r="N243" s="398"/>
      <c r="O243" s="398"/>
      <c r="P243" s="398"/>
      <c r="Q243" s="398"/>
      <c r="R243" s="398"/>
      <c r="S243" s="398"/>
      <c r="T243" s="398"/>
      <c r="U243" s="398"/>
      <c r="V243" s="398"/>
      <c r="W243" s="398"/>
      <c r="X243" s="398"/>
      <c r="Y243" s="398"/>
      <c r="Z243" s="398"/>
      <c r="AA243" s="398"/>
      <c r="AB243" s="398"/>
      <c r="AC243" s="398"/>
      <c r="AD243" s="398"/>
      <c r="AE243" s="398"/>
      <c r="AF243" s="398"/>
      <c r="AG243" s="398"/>
      <c r="AH243" s="398"/>
      <c r="AI243" s="398"/>
    </row>
    <row r="244" spans="1:35" s="105" customFormat="1" ht="38.25">
      <c r="A244" s="398"/>
      <c r="B244" s="365" t="s">
        <v>1162</v>
      </c>
      <c r="C244" s="398"/>
      <c r="D244" s="398"/>
      <c r="E244" s="398"/>
      <c r="F244" s="398"/>
      <c r="G244" s="398"/>
      <c r="H244" s="398"/>
      <c r="I244" s="398"/>
      <c r="J244" s="398"/>
      <c r="K244" s="398"/>
      <c r="L244" s="398"/>
      <c r="M244" s="398"/>
      <c r="N244" s="398"/>
      <c r="O244" s="398"/>
      <c r="P244" s="398"/>
      <c r="Q244" s="398"/>
      <c r="R244" s="398"/>
      <c r="S244" s="398"/>
      <c r="T244" s="398"/>
      <c r="U244" s="398"/>
      <c r="V244" s="398"/>
      <c r="W244" s="398"/>
      <c r="X244" s="398"/>
      <c r="Y244" s="398"/>
      <c r="Z244" s="398"/>
      <c r="AA244" s="398"/>
      <c r="AB244" s="398"/>
      <c r="AC244" s="398"/>
      <c r="AD244" s="398"/>
      <c r="AE244" s="398"/>
      <c r="AF244" s="398"/>
      <c r="AG244" s="398"/>
      <c r="AH244" s="398"/>
      <c r="AI244" s="398"/>
    </row>
    <row r="245" spans="1:35" s="105" customFormat="1">
      <c r="A245" s="398"/>
      <c r="B245" s="365" t="s">
        <v>1163</v>
      </c>
      <c r="C245" s="398"/>
      <c r="D245" s="398"/>
      <c r="E245" s="398"/>
      <c r="F245" s="398"/>
      <c r="G245" s="398"/>
      <c r="H245" s="398"/>
      <c r="I245" s="398"/>
      <c r="J245" s="398"/>
      <c r="K245" s="398"/>
      <c r="L245" s="398"/>
      <c r="M245" s="398"/>
      <c r="N245" s="398"/>
      <c r="O245" s="398"/>
      <c r="P245" s="398"/>
      <c r="Q245" s="398"/>
      <c r="R245" s="398"/>
      <c r="S245" s="398"/>
      <c r="T245" s="398"/>
      <c r="U245" s="398"/>
      <c r="V245" s="398"/>
      <c r="W245" s="398"/>
      <c r="X245" s="398"/>
      <c r="Y245" s="398"/>
      <c r="Z245" s="398"/>
      <c r="AA245" s="398"/>
      <c r="AB245" s="398"/>
      <c r="AC245" s="398"/>
      <c r="AD245" s="398"/>
      <c r="AE245" s="398"/>
      <c r="AF245" s="398"/>
      <c r="AG245" s="398"/>
      <c r="AH245" s="398"/>
      <c r="AI245" s="398"/>
    </row>
    <row r="246" spans="1:35" s="105" customFormat="1">
      <c r="A246" s="398"/>
      <c r="B246" s="365" t="s">
        <v>1164</v>
      </c>
      <c r="C246" s="398"/>
      <c r="D246" s="398"/>
      <c r="E246" s="398"/>
      <c r="F246" s="398"/>
      <c r="G246" s="398"/>
      <c r="H246" s="398"/>
      <c r="I246" s="398"/>
      <c r="J246" s="398"/>
      <c r="K246" s="398"/>
      <c r="L246" s="398"/>
      <c r="M246" s="398"/>
      <c r="N246" s="398"/>
      <c r="O246" s="398"/>
      <c r="P246" s="398"/>
      <c r="Q246" s="398"/>
      <c r="R246" s="398"/>
      <c r="S246" s="398"/>
      <c r="T246" s="398"/>
      <c r="U246" s="398"/>
      <c r="V246" s="398"/>
      <c r="W246" s="398"/>
      <c r="X246" s="398"/>
      <c r="Y246" s="398"/>
      <c r="Z246" s="398"/>
      <c r="AA246" s="398"/>
      <c r="AB246" s="398"/>
      <c r="AC246" s="398"/>
      <c r="AD246" s="398"/>
      <c r="AE246" s="398"/>
      <c r="AF246" s="398"/>
      <c r="AG246" s="398"/>
      <c r="AH246" s="398"/>
      <c r="AI246" s="398"/>
    </row>
    <row r="247" spans="1:35" s="105" customFormat="1">
      <c r="A247" s="398"/>
      <c r="B247" s="398"/>
      <c r="C247" s="398"/>
      <c r="D247" s="398"/>
      <c r="E247" s="398"/>
      <c r="F247" s="398"/>
      <c r="G247" s="398"/>
      <c r="H247" s="398"/>
      <c r="I247" s="398"/>
      <c r="J247" s="398"/>
      <c r="K247" s="398"/>
      <c r="L247" s="398"/>
      <c r="M247" s="398"/>
      <c r="N247" s="398"/>
      <c r="O247" s="398"/>
      <c r="P247" s="398"/>
      <c r="Q247" s="398"/>
      <c r="R247" s="398"/>
      <c r="S247" s="398"/>
      <c r="T247" s="398"/>
      <c r="U247" s="398"/>
      <c r="V247" s="398"/>
      <c r="W247" s="398"/>
      <c r="X247" s="398"/>
      <c r="Y247" s="398"/>
      <c r="Z247" s="398"/>
      <c r="AA247" s="398"/>
      <c r="AB247" s="398"/>
      <c r="AC247" s="398"/>
      <c r="AD247" s="398"/>
      <c r="AE247" s="398"/>
      <c r="AF247" s="398"/>
      <c r="AG247" s="398"/>
      <c r="AH247" s="398"/>
      <c r="AI247" s="398"/>
    </row>
    <row r="248" spans="1:35" s="105" customFormat="1">
      <c r="A248" s="398"/>
      <c r="B248" s="398"/>
      <c r="C248" s="398"/>
      <c r="D248" s="398"/>
      <c r="E248" s="398"/>
      <c r="F248" s="398"/>
      <c r="G248" s="398"/>
      <c r="H248" s="398"/>
      <c r="I248" s="398"/>
      <c r="J248" s="398"/>
      <c r="K248" s="398"/>
      <c r="L248" s="398"/>
      <c r="M248" s="398"/>
      <c r="N248" s="398"/>
      <c r="O248" s="398"/>
      <c r="P248" s="398"/>
      <c r="Q248" s="398"/>
      <c r="R248" s="398"/>
      <c r="S248" s="398"/>
      <c r="T248" s="398"/>
      <c r="U248" s="398"/>
      <c r="V248" s="398"/>
      <c r="W248" s="398"/>
      <c r="X248" s="398"/>
      <c r="Y248" s="398"/>
      <c r="Z248" s="398"/>
      <c r="AA248" s="398"/>
      <c r="AB248" s="398"/>
      <c r="AC248" s="398"/>
      <c r="AD248" s="398"/>
      <c r="AE248" s="398"/>
      <c r="AF248" s="398"/>
      <c r="AG248" s="398"/>
      <c r="AH248" s="398"/>
      <c r="AI248" s="398"/>
    </row>
    <row r="249" spans="1:35" s="105" customFormat="1" ht="15">
      <c r="A249" s="6" t="s">
        <v>101</v>
      </c>
      <c r="B249" s="398"/>
      <c r="C249" s="398"/>
      <c r="D249" s="398"/>
      <c r="E249" s="398"/>
      <c r="F249" s="398"/>
      <c r="G249" s="398"/>
      <c r="H249" s="398"/>
      <c r="I249" s="398"/>
      <c r="J249" s="398"/>
      <c r="K249" s="398"/>
      <c r="L249" s="398"/>
      <c r="M249" s="398"/>
      <c r="N249" s="398"/>
      <c r="O249" s="398"/>
      <c r="P249" s="398"/>
      <c r="Q249" s="398"/>
      <c r="R249" s="398"/>
      <c r="S249" s="398"/>
      <c r="T249" s="398"/>
      <c r="U249" s="398"/>
      <c r="V249" s="398"/>
      <c r="W249" s="398"/>
      <c r="X249" s="398"/>
      <c r="Y249" s="398"/>
      <c r="Z249" s="398"/>
      <c r="AA249" s="398"/>
      <c r="AB249" s="398"/>
      <c r="AC249" s="398"/>
      <c r="AD249" s="398"/>
      <c r="AE249" s="398"/>
      <c r="AF249" s="398"/>
      <c r="AG249" s="398"/>
      <c r="AH249" s="398"/>
      <c r="AI249" s="398"/>
    </row>
    <row r="250" spans="1:35" s="105" customFormat="1">
      <c r="A250" s="398"/>
      <c r="B250" s="671" t="s">
        <v>1165</v>
      </c>
      <c r="C250" s="398"/>
      <c r="D250" s="398"/>
      <c r="E250" s="398"/>
      <c r="F250" s="398"/>
      <c r="G250" s="398"/>
      <c r="H250" s="398"/>
      <c r="I250" s="398"/>
      <c r="J250" s="398"/>
      <c r="K250" s="398"/>
      <c r="L250" s="398"/>
      <c r="M250" s="398"/>
      <c r="N250" s="398"/>
      <c r="O250" s="398"/>
      <c r="P250" s="398"/>
      <c r="Q250" s="398"/>
      <c r="R250" s="398"/>
      <c r="S250" s="398"/>
      <c r="T250" s="398"/>
      <c r="U250" s="398"/>
      <c r="V250" s="398"/>
      <c r="W250" s="398"/>
      <c r="X250" s="398"/>
      <c r="Y250" s="398"/>
      <c r="Z250" s="398"/>
      <c r="AA250" s="398"/>
      <c r="AB250" s="398"/>
      <c r="AC250" s="398"/>
      <c r="AD250" s="398"/>
      <c r="AE250" s="398"/>
      <c r="AF250" s="398"/>
      <c r="AG250" s="398"/>
      <c r="AH250" s="398"/>
      <c r="AI250" s="398"/>
    </row>
    <row r="251" spans="1:35" s="105" customFormat="1" ht="27">
      <c r="A251" s="398"/>
      <c r="B251" s="365" t="s">
        <v>102</v>
      </c>
      <c r="C251" s="398"/>
      <c r="D251" s="398"/>
      <c r="E251" s="398"/>
      <c r="F251" s="398"/>
      <c r="G251" s="366"/>
      <c r="H251" s="398"/>
      <c r="I251" s="398"/>
      <c r="J251" s="398"/>
      <c r="K251" s="398"/>
      <c r="L251" s="398"/>
      <c r="M251" s="398"/>
      <c r="N251" s="398"/>
      <c r="O251" s="398"/>
      <c r="P251" s="398"/>
      <c r="Q251" s="398"/>
      <c r="R251" s="398"/>
      <c r="S251" s="398"/>
      <c r="T251" s="398"/>
      <c r="U251" s="398"/>
      <c r="V251" s="398"/>
      <c r="W251" s="398"/>
      <c r="X251" s="398"/>
      <c r="Y251" s="398"/>
      <c r="Z251" s="398"/>
      <c r="AA251" s="398"/>
      <c r="AB251" s="398"/>
      <c r="AC251" s="398"/>
      <c r="AD251" s="398"/>
      <c r="AE251" s="398"/>
      <c r="AF251" s="398"/>
      <c r="AG251" s="398"/>
      <c r="AH251" s="398"/>
      <c r="AI251" s="398"/>
    </row>
    <row r="252" spans="1:35" s="105" customFormat="1" ht="25.5">
      <c r="A252" s="398"/>
      <c r="B252" s="365" t="s">
        <v>1166</v>
      </c>
      <c r="C252" s="398"/>
      <c r="D252" s="398"/>
      <c r="E252" s="398"/>
      <c r="F252" s="398"/>
      <c r="G252" s="398"/>
      <c r="H252" s="398"/>
      <c r="I252" s="398"/>
      <c r="J252" s="398"/>
      <c r="K252" s="398"/>
      <c r="L252" s="398"/>
      <c r="M252" s="398"/>
      <c r="N252" s="398"/>
      <c r="O252" s="398"/>
      <c r="P252" s="398"/>
      <c r="Q252" s="398"/>
      <c r="R252" s="398"/>
      <c r="S252" s="398"/>
      <c r="T252" s="398"/>
      <c r="U252" s="398"/>
      <c r="V252" s="398"/>
      <c r="W252" s="398"/>
      <c r="X252" s="398"/>
      <c r="Y252" s="398"/>
      <c r="Z252" s="398"/>
      <c r="AA252" s="398"/>
      <c r="AB252" s="398"/>
      <c r="AC252" s="398"/>
      <c r="AD252" s="398"/>
      <c r="AE252" s="398"/>
      <c r="AF252" s="398"/>
      <c r="AG252" s="398"/>
      <c r="AH252" s="398"/>
      <c r="AI252" s="398"/>
    </row>
    <row r="253" spans="1:35" s="105" customFormat="1" ht="25.5">
      <c r="A253" s="398"/>
      <c r="B253" s="365" t="s">
        <v>1167</v>
      </c>
      <c r="C253" s="398"/>
      <c r="D253" s="398"/>
      <c r="E253" s="398"/>
      <c r="F253" s="398"/>
      <c r="G253" s="398"/>
      <c r="H253" s="398"/>
      <c r="I253" s="398"/>
      <c r="J253" s="398"/>
      <c r="K253" s="398"/>
      <c r="L253" s="398"/>
      <c r="M253" s="398"/>
      <c r="N253" s="398"/>
      <c r="O253" s="398"/>
      <c r="P253" s="398"/>
      <c r="Q253" s="398"/>
      <c r="R253" s="398"/>
      <c r="S253" s="398"/>
      <c r="T253" s="398"/>
      <c r="U253" s="398"/>
      <c r="V253" s="398"/>
      <c r="W253" s="398"/>
      <c r="X253" s="398"/>
      <c r="Y253" s="398"/>
      <c r="Z253" s="398"/>
      <c r="AA253" s="398"/>
      <c r="AB253" s="398"/>
      <c r="AC253" s="398"/>
      <c r="AD253" s="398"/>
      <c r="AE253" s="398"/>
      <c r="AF253" s="398"/>
      <c r="AG253" s="398"/>
      <c r="AH253" s="398"/>
      <c r="AI253" s="398"/>
    </row>
    <row r="254" spans="1:35" s="105" customFormat="1" ht="25.5">
      <c r="A254" s="398"/>
      <c r="B254" s="365" t="s">
        <v>1168</v>
      </c>
      <c r="C254" s="398"/>
      <c r="D254" s="398"/>
      <c r="E254" s="398"/>
      <c r="F254" s="398"/>
      <c r="G254" s="398"/>
      <c r="H254" s="398"/>
      <c r="I254" s="398"/>
      <c r="J254" s="398"/>
      <c r="K254" s="398"/>
      <c r="L254" s="398"/>
      <c r="M254" s="398"/>
      <c r="N254" s="398"/>
      <c r="O254" s="398"/>
      <c r="P254" s="398"/>
      <c r="Q254" s="398"/>
      <c r="R254" s="398"/>
      <c r="S254" s="398"/>
      <c r="T254" s="398"/>
      <c r="U254" s="398"/>
      <c r="V254" s="398"/>
      <c r="W254" s="398"/>
      <c r="X254" s="398"/>
      <c r="Y254" s="398"/>
      <c r="Z254" s="398"/>
      <c r="AA254" s="398"/>
      <c r="AB254" s="398"/>
      <c r="AC254" s="398"/>
      <c r="AD254" s="398"/>
      <c r="AE254" s="398"/>
      <c r="AF254" s="398"/>
      <c r="AG254" s="398"/>
      <c r="AH254" s="398"/>
      <c r="AI254" s="398"/>
    </row>
    <row r="255" spans="1:35" s="105" customFormat="1" ht="13.5" customHeight="1">
      <c r="A255" s="398"/>
      <c r="B255" s="398"/>
      <c r="C255" s="398"/>
      <c r="D255" s="398"/>
      <c r="E255" s="398"/>
      <c r="F255" s="398"/>
      <c r="G255" s="398"/>
      <c r="H255" s="398"/>
      <c r="I255" s="398"/>
      <c r="J255" s="398"/>
      <c r="K255" s="398"/>
      <c r="L255" s="398"/>
      <c r="M255" s="398"/>
      <c r="N255" s="398"/>
      <c r="O255" s="398"/>
      <c r="P255" s="398"/>
      <c r="Q255" s="398"/>
      <c r="R255" s="398"/>
      <c r="S255" s="398"/>
      <c r="T255" s="398"/>
      <c r="U255" s="398"/>
      <c r="V255" s="398"/>
      <c r="W255" s="398"/>
      <c r="X255" s="398"/>
      <c r="Y255" s="398"/>
      <c r="Z255" s="398"/>
      <c r="AA255" s="398"/>
      <c r="AB255" s="398"/>
      <c r="AC255" s="398"/>
      <c r="AD255" s="398"/>
      <c r="AE255" s="398"/>
      <c r="AF255" s="398"/>
      <c r="AG255" s="398"/>
      <c r="AH255" s="398"/>
      <c r="AI255" s="398"/>
    </row>
    <row r="256" spans="1:35" s="105" customFormat="1">
      <c r="A256" s="398"/>
      <c r="B256" s="398"/>
      <c r="C256" s="398"/>
      <c r="D256" s="398"/>
      <c r="E256" s="398"/>
      <c r="F256" s="398"/>
      <c r="G256" s="398"/>
      <c r="H256" s="398"/>
      <c r="I256" s="398"/>
      <c r="J256" s="398"/>
      <c r="K256" s="398"/>
      <c r="L256" s="398"/>
      <c r="M256" s="398"/>
      <c r="N256" s="398"/>
      <c r="O256" s="398"/>
      <c r="P256" s="398"/>
      <c r="Q256" s="398"/>
      <c r="R256" s="398"/>
      <c r="S256" s="398"/>
      <c r="T256" s="398"/>
      <c r="U256" s="398"/>
      <c r="V256" s="398"/>
      <c r="W256" s="398"/>
      <c r="X256" s="398"/>
      <c r="Y256" s="398"/>
      <c r="Z256" s="398"/>
      <c r="AA256" s="398"/>
      <c r="AB256" s="398"/>
      <c r="AC256" s="398"/>
      <c r="AD256" s="398"/>
      <c r="AE256" s="398"/>
      <c r="AF256" s="398"/>
      <c r="AG256" s="398"/>
      <c r="AH256" s="398"/>
      <c r="AI256" s="398"/>
    </row>
    <row r="257" spans="1:35" ht="22.5">
      <c r="A257" s="3" t="s">
        <v>1169</v>
      </c>
      <c r="B257" s="398"/>
      <c r="C257" s="398"/>
      <c r="D257" s="398"/>
      <c r="E257" s="398"/>
      <c r="F257" s="398"/>
      <c r="G257" s="398"/>
      <c r="H257" s="398"/>
      <c r="I257" s="398"/>
      <c r="J257" s="398"/>
      <c r="K257" s="398"/>
      <c r="L257" s="398"/>
      <c r="M257" s="398"/>
      <c r="N257" s="398"/>
      <c r="O257" s="398"/>
      <c r="P257" s="398"/>
      <c r="Q257" s="398"/>
      <c r="R257" s="398"/>
      <c r="S257" s="398"/>
      <c r="T257" s="398"/>
      <c r="U257" s="398"/>
      <c r="V257" s="398"/>
      <c r="W257" s="398"/>
      <c r="X257" s="398"/>
      <c r="Y257" s="398"/>
      <c r="Z257" s="398"/>
      <c r="AA257" s="398"/>
      <c r="AB257" s="398"/>
      <c r="AC257" s="398"/>
      <c r="AD257" s="398"/>
      <c r="AE257" s="398"/>
      <c r="AF257" s="398"/>
      <c r="AG257" s="398"/>
      <c r="AH257" s="398"/>
      <c r="AI257" s="398"/>
    </row>
    <row r="258" spans="1:35" s="75" customFormat="1">
      <c r="A258" s="398"/>
      <c r="B258" s="398"/>
      <c r="C258" s="364"/>
      <c r="D258" s="398"/>
      <c r="E258" s="312" t="s">
        <v>1170</v>
      </c>
      <c r="F258" s="313"/>
      <c r="G258" s="313"/>
      <c r="H258" s="313"/>
      <c r="I258" s="398"/>
      <c r="J258" s="398"/>
      <c r="K258" s="398"/>
      <c r="L258" s="398"/>
      <c r="M258" s="398"/>
      <c r="N258" s="398"/>
      <c r="O258" s="398"/>
      <c r="P258" s="398"/>
      <c r="Q258" s="398"/>
      <c r="R258" s="398"/>
      <c r="S258" s="398"/>
      <c r="T258" s="398"/>
      <c r="U258" s="398"/>
      <c r="V258" s="398"/>
      <c r="W258" s="398"/>
      <c r="X258" s="398"/>
      <c r="Y258" s="398"/>
      <c r="Z258" s="398"/>
      <c r="AA258" s="398"/>
      <c r="AB258" s="398"/>
      <c r="AC258" s="398"/>
      <c r="AD258" s="398"/>
      <c r="AE258" s="398"/>
      <c r="AF258" s="398"/>
      <c r="AG258" s="398"/>
      <c r="AH258" s="398"/>
      <c r="AI258" s="398"/>
    </row>
    <row r="259" spans="1:35" ht="38.25">
      <c r="A259" s="398"/>
      <c r="B259" s="98" t="s">
        <v>1171</v>
      </c>
      <c r="C259" s="398"/>
      <c r="D259" s="671" t="s">
        <v>1172</v>
      </c>
      <c r="E259" s="671" t="str">
        <f>B267</f>
        <v>Sales/Marketing</v>
      </c>
      <c r="F259" s="671" t="str">
        <f>B268</f>
        <v>Business Management</v>
      </c>
      <c r="G259" s="671" t="str">
        <f>B269</f>
        <v>Supply/Operations</v>
      </c>
      <c r="H259" s="671" t="str">
        <f>B270</f>
        <v>Technology Management &amp; Operations</v>
      </c>
      <c r="I259" s="398"/>
      <c r="J259" s="398"/>
      <c r="K259" s="398"/>
      <c r="L259" s="398"/>
      <c r="M259" s="398"/>
      <c r="N259" s="398"/>
      <c r="O259" s="398"/>
      <c r="P259" s="398"/>
      <c r="Q259" s="398"/>
      <c r="R259" s="398"/>
      <c r="S259" s="398"/>
      <c r="T259" s="398"/>
      <c r="U259" s="398"/>
      <c r="V259" s="398"/>
      <c r="W259" s="398"/>
      <c r="X259" s="398"/>
      <c r="Y259" s="398"/>
      <c r="Z259" s="398"/>
      <c r="AA259" s="398"/>
      <c r="AB259" s="398"/>
      <c r="AC259" s="398"/>
      <c r="AD259" s="398"/>
      <c r="AE259" s="398"/>
      <c r="AF259" s="398"/>
      <c r="AG259" s="398"/>
      <c r="AH259" s="398"/>
      <c r="AI259" s="398"/>
    </row>
    <row r="260" spans="1:35" ht="27">
      <c r="A260" s="398"/>
      <c r="B260" s="367" t="s">
        <v>1173</v>
      </c>
      <c r="C260" s="660" t="s">
        <v>1174</v>
      </c>
      <c r="D260" s="154">
        <v>0.1</v>
      </c>
      <c r="E260" s="154">
        <v>1.1000000000000001</v>
      </c>
      <c r="F260" s="154">
        <v>1.1000000000000001</v>
      </c>
      <c r="G260" s="154">
        <v>1.1000000000000001</v>
      </c>
      <c r="H260" s="154">
        <v>1.4</v>
      </c>
      <c r="I260" s="366"/>
      <c r="J260" s="398"/>
      <c r="K260" s="398"/>
      <c r="L260" s="398"/>
      <c r="M260" s="398"/>
      <c r="N260" s="398"/>
      <c r="O260" s="398"/>
      <c r="P260" s="398"/>
      <c r="Q260" s="398"/>
      <c r="R260" s="398"/>
      <c r="S260" s="398"/>
      <c r="T260" s="398"/>
      <c r="U260" s="398"/>
      <c r="V260" s="398"/>
      <c r="W260" s="398"/>
      <c r="X260" s="398"/>
      <c r="Y260" s="398"/>
      <c r="Z260" s="398"/>
      <c r="AA260" s="398"/>
      <c r="AB260" s="398"/>
      <c r="AC260" s="398"/>
      <c r="AD260" s="398"/>
      <c r="AE260" s="398"/>
      <c r="AF260" s="398"/>
      <c r="AG260" s="398"/>
      <c r="AH260" s="398"/>
      <c r="AI260" s="398"/>
    </row>
    <row r="261" spans="1:35" ht="25.5">
      <c r="A261" s="398"/>
      <c r="B261" s="367" t="s">
        <v>93</v>
      </c>
      <c r="C261" s="660" t="s">
        <v>1175</v>
      </c>
      <c r="D261" s="154">
        <v>0.3</v>
      </c>
      <c r="E261" s="154">
        <v>1</v>
      </c>
      <c r="F261" s="154">
        <v>1</v>
      </c>
      <c r="G261" s="154">
        <v>1</v>
      </c>
      <c r="H261" s="154">
        <v>1.1499999999999999</v>
      </c>
      <c r="I261" s="398"/>
      <c r="J261" s="398"/>
      <c r="K261" s="398"/>
      <c r="L261" s="398"/>
      <c r="M261" s="398"/>
      <c r="N261" s="398"/>
      <c r="O261" s="398"/>
      <c r="P261" s="398"/>
      <c r="Q261" s="398"/>
      <c r="R261" s="398"/>
      <c r="S261" s="398"/>
      <c r="T261" s="398"/>
      <c r="U261" s="398"/>
      <c r="V261" s="398"/>
      <c r="W261" s="398"/>
      <c r="X261" s="398"/>
      <c r="Y261" s="398"/>
      <c r="Z261" s="398"/>
      <c r="AA261" s="398"/>
      <c r="AB261" s="398"/>
      <c r="AC261" s="398"/>
      <c r="AD261" s="398"/>
      <c r="AE261" s="398"/>
      <c r="AF261" s="398"/>
      <c r="AG261" s="398"/>
      <c r="AH261" s="398"/>
      <c r="AI261" s="398"/>
    </row>
    <row r="262" spans="1:35" ht="25.5">
      <c r="A262" s="398"/>
      <c r="B262" s="367" t="s">
        <v>1176</v>
      </c>
      <c r="C262" s="660" t="s">
        <v>1177</v>
      </c>
      <c r="D262" s="154">
        <v>0.5</v>
      </c>
      <c r="E262" s="154">
        <v>0.9</v>
      </c>
      <c r="F262" s="154">
        <v>0.9</v>
      </c>
      <c r="G262" s="154">
        <v>0.9</v>
      </c>
      <c r="H262" s="154">
        <v>1</v>
      </c>
      <c r="I262" s="398"/>
      <c r="J262" s="398"/>
      <c r="K262" s="398"/>
      <c r="L262" s="398"/>
      <c r="M262" s="398"/>
      <c r="N262" s="398"/>
      <c r="O262" s="398"/>
      <c r="P262" s="398"/>
      <c r="Q262" s="398"/>
      <c r="R262" s="398"/>
      <c r="S262" s="398"/>
      <c r="T262" s="398"/>
      <c r="U262" s="398"/>
      <c r="V262" s="398"/>
      <c r="W262" s="398"/>
      <c r="X262" s="398"/>
      <c r="Y262" s="398"/>
      <c r="Z262" s="398"/>
      <c r="AA262" s="398"/>
      <c r="AB262" s="398"/>
      <c r="AC262" s="398"/>
      <c r="AD262" s="398"/>
      <c r="AE262" s="398"/>
      <c r="AF262" s="398"/>
      <c r="AG262" s="398"/>
      <c r="AH262" s="398"/>
      <c r="AI262" s="398"/>
    </row>
    <row r="263" spans="1:35" ht="25.5">
      <c r="A263" s="398"/>
      <c r="B263" s="367" t="s">
        <v>1178</v>
      </c>
      <c r="C263" s="660" t="s">
        <v>1179</v>
      </c>
      <c r="D263" s="154">
        <v>0.7</v>
      </c>
      <c r="E263" s="154">
        <v>0.93</v>
      </c>
      <c r="F263" s="154">
        <v>0.93</v>
      </c>
      <c r="G263" s="154">
        <v>0.93</v>
      </c>
      <c r="H263" s="154">
        <v>0.9</v>
      </c>
      <c r="I263" s="398"/>
      <c r="J263" s="398"/>
      <c r="K263" s="398"/>
      <c r="L263" s="398"/>
      <c r="M263" s="398"/>
      <c r="N263" s="398"/>
      <c r="O263" s="398"/>
      <c r="P263" s="398"/>
      <c r="Q263" s="398"/>
      <c r="R263" s="398"/>
      <c r="S263" s="398"/>
      <c r="T263" s="398"/>
      <c r="U263" s="398"/>
      <c r="V263" s="398"/>
      <c r="W263" s="398"/>
      <c r="X263" s="398"/>
      <c r="Y263" s="398"/>
      <c r="Z263" s="398"/>
      <c r="AA263" s="398"/>
      <c r="AB263" s="398"/>
      <c r="AC263" s="398"/>
      <c r="AD263" s="398"/>
      <c r="AE263" s="398"/>
      <c r="AF263" s="398"/>
      <c r="AG263" s="398"/>
      <c r="AH263" s="398"/>
      <c r="AI263" s="398"/>
    </row>
    <row r="264" spans="1:35" ht="25.5">
      <c r="A264" s="398"/>
      <c r="B264" s="367" t="s">
        <v>1180</v>
      </c>
      <c r="C264" s="660" t="s">
        <v>1181</v>
      </c>
      <c r="D264" s="154">
        <v>0.9</v>
      </c>
      <c r="E264" s="154">
        <v>0.95</v>
      </c>
      <c r="F264" s="154">
        <v>0.95</v>
      </c>
      <c r="G264" s="154">
        <v>0.95</v>
      </c>
      <c r="H264" s="154">
        <v>0.85</v>
      </c>
      <c r="I264" s="398"/>
      <c r="J264" s="398"/>
      <c r="K264" s="398"/>
      <c r="L264" s="398"/>
      <c r="M264" s="398"/>
      <c r="N264" s="398"/>
      <c r="O264" s="398"/>
      <c r="P264" s="398"/>
      <c r="Q264" s="398"/>
      <c r="R264" s="398"/>
      <c r="S264" s="398"/>
      <c r="T264" s="398"/>
      <c r="U264" s="398"/>
      <c r="V264" s="398"/>
      <c r="W264" s="398"/>
      <c r="X264" s="398"/>
      <c r="Y264" s="398"/>
      <c r="Z264" s="398"/>
      <c r="AA264" s="398"/>
      <c r="AB264" s="398"/>
      <c r="AC264" s="398"/>
      <c r="AD264" s="398"/>
      <c r="AE264" s="398"/>
      <c r="AF264" s="398"/>
      <c r="AG264" s="398"/>
      <c r="AH264" s="398"/>
      <c r="AI264" s="398"/>
    </row>
    <row r="265" spans="1:35" s="75" customFormat="1">
      <c r="A265" s="398"/>
      <c r="B265" s="270"/>
      <c r="C265" s="660"/>
      <c r="D265" s="398"/>
      <c r="E265" s="270"/>
      <c r="F265" s="398"/>
      <c r="G265" s="398"/>
      <c r="H265" s="398"/>
      <c r="I265" s="398"/>
      <c r="J265" s="398"/>
      <c r="K265" s="398"/>
      <c r="L265" s="398"/>
      <c r="M265" s="398"/>
      <c r="N265" s="398"/>
      <c r="O265" s="398"/>
      <c r="P265" s="398"/>
      <c r="Q265" s="398"/>
      <c r="R265" s="398"/>
      <c r="S265" s="398"/>
      <c r="T265" s="398"/>
      <c r="U265" s="398"/>
      <c r="V265" s="398"/>
      <c r="W265" s="398"/>
      <c r="X265" s="398"/>
      <c r="Y265" s="398"/>
      <c r="Z265" s="398"/>
      <c r="AA265" s="398"/>
      <c r="AB265" s="398"/>
      <c r="AC265" s="398"/>
      <c r="AD265" s="398"/>
      <c r="AE265" s="398"/>
      <c r="AF265" s="398"/>
      <c r="AG265" s="398"/>
      <c r="AH265" s="398"/>
      <c r="AI265" s="398"/>
    </row>
    <row r="266" spans="1:35" ht="25.5">
      <c r="A266" s="398"/>
      <c r="B266" s="398"/>
      <c r="C266" s="671" t="s">
        <v>1182</v>
      </c>
      <c r="D266" s="671" t="s">
        <v>1183</v>
      </c>
      <c r="E266" s="671" t="s">
        <v>874</v>
      </c>
      <c r="F266" s="671" t="s">
        <v>1172</v>
      </c>
      <c r="G266" s="398"/>
      <c r="H266" s="398"/>
      <c r="I266" s="398"/>
      <c r="J266" s="398"/>
      <c r="K266" s="398"/>
      <c r="L266" s="398"/>
      <c r="M266" s="398"/>
      <c r="N266" s="398"/>
      <c r="O266" s="398"/>
      <c r="P266" s="398"/>
      <c r="Q266" s="398"/>
      <c r="R266" s="398"/>
      <c r="S266" s="398"/>
      <c r="T266" s="398"/>
      <c r="U266" s="398"/>
      <c r="V266" s="398"/>
      <c r="W266" s="398"/>
      <c r="X266" s="398"/>
      <c r="Y266" s="398"/>
      <c r="Z266" s="398"/>
      <c r="AA266" s="398"/>
      <c r="AB266" s="398"/>
      <c r="AC266" s="398"/>
      <c r="AD266" s="398"/>
      <c r="AE266" s="398"/>
      <c r="AF266" s="398"/>
      <c r="AG266" s="398"/>
      <c r="AH266" s="398"/>
      <c r="AI266" s="398"/>
    </row>
    <row r="267" spans="1:35">
      <c r="A267" s="398"/>
      <c r="B267" s="99" t="s">
        <v>92</v>
      </c>
      <c r="C267" s="398">
        <f>MATCH(Profile!D36,MaturityLevelList,0)</f>
        <v>2</v>
      </c>
      <c r="D267" s="154">
        <f>INDEX($E$260:$E$264,C267)</f>
        <v>1</v>
      </c>
      <c r="E267" s="154">
        <v>0.25</v>
      </c>
      <c r="F267" s="154">
        <f>INDEX($D$260:$D$264,C267)</f>
        <v>0.3</v>
      </c>
      <c r="G267" s="398"/>
      <c r="H267" s="398"/>
      <c r="I267" s="398"/>
      <c r="J267" s="398"/>
      <c r="K267" s="398"/>
      <c r="L267" s="398"/>
      <c r="M267" s="398"/>
      <c r="N267" s="398"/>
      <c r="O267" s="398"/>
      <c r="P267" s="398"/>
      <c r="Q267" s="398"/>
      <c r="R267" s="398"/>
      <c r="S267" s="398"/>
      <c r="T267" s="398"/>
      <c r="U267" s="398"/>
      <c r="V267" s="398"/>
      <c r="W267" s="398"/>
      <c r="X267" s="398"/>
      <c r="Y267" s="398"/>
      <c r="Z267" s="398"/>
      <c r="AA267" s="398"/>
      <c r="AB267" s="398"/>
      <c r="AC267" s="398"/>
      <c r="AD267" s="398"/>
      <c r="AE267" s="398"/>
      <c r="AF267" s="398"/>
      <c r="AG267" s="398"/>
      <c r="AH267" s="398"/>
      <c r="AI267" s="398"/>
    </row>
    <row r="268" spans="1:35">
      <c r="A268" s="398"/>
      <c r="B268" s="99" t="s">
        <v>94</v>
      </c>
      <c r="C268" s="398">
        <f>MATCH(Profile!D37,MaturityLevelList,0)</f>
        <v>2</v>
      </c>
      <c r="D268" s="154">
        <f>INDEX($F$260:$F$264,C268)</f>
        <v>1</v>
      </c>
      <c r="E268" s="154">
        <v>0.25</v>
      </c>
      <c r="F268" s="154">
        <f>INDEX($D$260:$D$264,C268)</f>
        <v>0.3</v>
      </c>
      <c r="G268" s="398"/>
      <c r="H268" s="398"/>
      <c r="I268" s="398"/>
      <c r="J268" s="398"/>
      <c r="K268" s="398"/>
      <c r="L268" s="398"/>
      <c r="M268" s="398"/>
      <c r="N268" s="398"/>
      <c r="O268" s="398"/>
      <c r="P268" s="398"/>
      <c r="Q268" s="398"/>
      <c r="R268" s="398"/>
      <c r="S268" s="398"/>
      <c r="T268" s="398"/>
      <c r="U268" s="398"/>
      <c r="V268" s="398"/>
      <c r="W268" s="398"/>
      <c r="X268" s="398"/>
      <c r="Y268" s="398"/>
      <c r="Z268" s="398"/>
      <c r="AA268" s="398"/>
      <c r="AB268" s="398"/>
      <c r="AC268" s="398"/>
      <c r="AD268" s="398"/>
      <c r="AE268" s="398"/>
      <c r="AF268" s="398"/>
      <c r="AG268" s="398"/>
      <c r="AH268" s="398"/>
      <c r="AI268" s="398"/>
    </row>
    <row r="269" spans="1:35">
      <c r="A269" s="398"/>
      <c r="B269" s="99" t="s">
        <v>95</v>
      </c>
      <c r="C269" s="398">
        <f>MATCH(Profile!D38,MaturityLevelList,0)</f>
        <v>2</v>
      </c>
      <c r="D269" s="154">
        <f>INDEX($G$260:$G$264,C269)</f>
        <v>1</v>
      </c>
      <c r="E269" s="154">
        <v>0.25</v>
      </c>
      <c r="F269" s="154">
        <f>INDEX($D$260:$D$264,C269)</f>
        <v>0.3</v>
      </c>
      <c r="G269" s="398"/>
      <c r="H269" s="398"/>
      <c r="I269" s="398"/>
      <c r="J269" s="398"/>
      <c r="K269" s="398"/>
      <c r="L269" s="398"/>
      <c r="M269" s="398"/>
      <c r="N269" s="398"/>
      <c r="O269" s="398"/>
      <c r="P269" s="398"/>
      <c r="Q269" s="398"/>
      <c r="R269" s="398"/>
      <c r="S269" s="398"/>
      <c r="T269" s="398"/>
      <c r="U269" s="398"/>
      <c r="V269" s="398"/>
      <c r="W269" s="398"/>
      <c r="X269" s="398"/>
      <c r="Y269" s="398"/>
      <c r="Z269" s="398"/>
      <c r="AA269" s="398"/>
      <c r="AB269" s="398"/>
      <c r="AC269" s="398"/>
      <c r="AD269" s="398"/>
      <c r="AE269" s="398"/>
      <c r="AF269" s="398"/>
      <c r="AG269" s="398"/>
      <c r="AH269" s="398"/>
      <c r="AI269" s="398"/>
    </row>
    <row r="270" spans="1:35" ht="13.5" thickBot="1">
      <c r="A270" s="398"/>
      <c r="B270" s="99" t="s">
        <v>96</v>
      </c>
      <c r="C270" s="398">
        <f>MATCH(Profile!D39,MaturityLevelList,0)</f>
        <v>2</v>
      </c>
      <c r="D270" s="154">
        <f>INDEX($H$260:$H$264,C270)</f>
        <v>1.1499999999999999</v>
      </c>
      <c r="E270" s="154">
        <v>0.25</v>
      </c>
      <c r="F270" s="154">
        <f>INDEX($D$260:$D$264,C270)</f>
        <v>0.3</v>
      </c>
      <c r="G270" s="398"/>
      <c r="H270" s="398"/>
      <c r="I270" s="398"/>
      <c r="J270" s="398"/>
      <c r="K270" s="398"/>
      <c r="L270" s="398"/>
      <c r="M270" s="398"/>
      <c r="N270" s="398"/>
      <c r="O270" s="398"/>
      <c r="P270" s="398"/>
      <c r="Q270" s="398"/>
      <c r="R270" s="398"/>
      <c r="S270" s="398"/>
      <c r="T270" s="398"/>
      <c r="U270" s="398"/>
      <c r="V270" s="398"/>
      <c r="W270" s="398"/>
      <c r="X270" s="398"/>
      <c r="Y270" s="398"/>
      <c r="Z270" s="398"/>
      <c r="AA270" s="398"/>
      <c r="AB270" s="398"/>
      <c r="AC270" s="398"/>
      <c r="AD270" s="398"/>
      <c r="AE270" s="398"/>
      <c r="AF270" s="398"/>
      <c r="AG270" s="398"/>
      <c r="AH270" s="398"/>
      <c r="AI270" s="398"/>
    </row>
    <row r="271" spans="1:35" ht="13.5" thickTop="1">
      <c r="A271" s="398"/>
      <c r="B271" s="99" t="s">
        <v>1184</v>
      </c>
      <c r="C271" s="398"/>
      <c r="D271" s="179">
        <f>SUMPRODUCT(D267:D270,E267:E270)/E271</f>
        <v>1.0375000000000001</v>
      </c>
      <c r="E271" s="179">
        <f>SUM(E267:E270)</f>
        <v>1</v>
      </c>
      <c r="F271" s="398"/>
      <c r="G271" s="398"/>
      <c r="H271" s="398"/>
      <c r="I271" s="398"/>
      <c r="J271" s="398"/>
      <c r="K271" s="398"/>
      <c r="L271" s="398"/>
      <c r="M271" s="398"/>
      <c r="N271" s="398"/>
      <c r="O271" s="398"/>
      <c r="P271" s="398"/>
      <c r="Q271" s="398"/>
      <c r="R271" s="398"/>
      <c r="S271" s="398"/>
      <c r="T271" s="398"/>
      <c r="U271" s="398"/>
      <c r="V271" s="398"/>
      <c r="W271" s="398"/>
      <c r="X271" s="398"/>
      <c r="Y271" s="398"/>
      <c r="Z271" s="398"/>
      <c r="AA271" s="398"/>
      <c r="AB271" s="398"/>
      <c r="AC271" s="398"/>
      <c r="AD271" s="398"/>
      <c r="AE271" s="398"/>
      <c r="AF271" s="398"/>
      <c r="AG271" s="398"/>
      <c r="AH271" s="398"/>
      <c r="AI271" s="398"/>
    </row>
    <row r="272" spans="1:35" s="105" customFormat="1" ht="22.5">
      <c r="A272" s="3" t="s">
        <v>1185</v>
      </c>
      <c r="B272" s="398"/>
      <c r="C272" s="364"/>
      <c r="D272" s="398"/>
      <c r="E272" s="398"/>
      <c r="F272" s="398"/>
      <c r="G272" s="398"/>
      <c r="H272" s="398"/>
      <c r="I272" s="398"/>
      <c r="J272" s="398"/>
      <c r="K272" s="398"/>
      <c r="L272" s="398"/>
      <c r="M272" s="398"/>
      <c r="N272" s="398"/>
      <c r="O272" s="398"/>
      <c r="P272" s="398"/>
      <c r="Q272" s="398"/>
      <c r="R272" s="398"/>
      <c r="S272" s="398"/>
      <c r="T272" s="398"/>
      <c r="U272" s="398"/>
      <c r="V272" s="398"/>
      <c r="W272" s="398"/>
      <c r="X272" s="398"/>
      <c r="Y272" s="398"/>
      <c r="Z272" s="398"/>
      <c r="AA272" s="398"/>
      <c r="AB272" s="398"/>
      <c r="AC272" s="398"/>
      <c r="AD272" s="398"/>
      <c r="AE272" s="398"/>
      <c r="AF272" s="398"/>
      <c r="AG272" s="398"/>
      <c r="AH272" s="398"/>
      <c r="AI272" s="398"/>
    </row>
    <row r="273" spans="1:35">
      <c r="A273" s="398"/>
      <c r="B273" s="398"/>
      <c r="C273" s="398"/>
      <c r="D273" s="398"/>
      <c r="E273" s="398"/>
      <c r="F273" s="398"/>
      <c r="G273" s="398"/>
      <c r="H273" s="398"/>
      <c r="I273" s="398"/>
      <c r="J273" s="398"/>
      <c r="K273" s="398"/>
      <c r="L273" s="398"/>
      <c r="M273" s="398"/>
      <c r="N273" s="398"/>
      <c r="O273" s="398"/>
      <c r="P273" s="398"/>
      <c r="Q273" s="398"/>
      <c r="R273" s="398"/>
      <c r="S273" s="398"/>
      <c r="T273" s="398"/>
      <c r="U273" s="398"/>
      <c r="V273" s="398"/>
      <c r="W273" s="398"/>
      <c r="X273" s="398"/>
      <c r="Y273" s="398"/>
      <c r="Z273" s="398"/>
      <c r="AA273" s="398"/>
      <c r="AB273" s="398"/>
      <c r="AC273" s="398"/>
      <c r="AD273" s="398"/>
      <c r="AE273" s="398"/>
      <c r="AF273" s="398"/>
      <c r="AG273" s="398"/>
      <c r="AH273" s="398"/>
      <c r="AI273" s="398"/>
    </row>
    <row r="274" spans="1:35" s="75" customFormat="1" ht="25.5">
      <c r="A274" s="398"/>
      <c r="B274" s="398"/>
      <c r="C274" s="398"/>
      <c r="D274" s="398"/>
      <c r="E274" s="398"/>
      <c r="F274" s="671" t="s">
        <v>1186</v>
      </c>
      <c r="G274" s="398"/>
      <c r="H274" s="398"/>
      <c r="I274" s="398"/>
      <c r="J274" s="398"/>
      <c r="K274" s="41"/>
      <c r="L274" s="398"/>
      <c r="M274" s="398"/>
      <c r="N274" s="398"/>
      <c r="O274" s="398"/>
      <c r="P274" s="398"/>
      <c r="Q274" s="398"/>
      <c r="R274" s="398"/>
      <c r="S274" s="398"/>
      <c r="T274" s="398"/>
      <c r="U274" s="398"/>
      <c r="V274" s="398"/>
      <c r="W274" s="398"/>
      <c r="X274" s="398"/>
      <c r="Y274" s="398"/>
      <c r="Z274" s="398"/>
      <c r="AA274" s="398"/>
      <c r="AB274" s="398"/>
      <c r="AC274" s="398"/>
      <c r="AD274" s="398"/>
      <c r="AE274" s="398"/>
      <c r="AF274" s="398"/>
      <c r="AG274" s="398"/>
      <c r="AH274" s="398"/>
      <c r="AI274" s="398"/>
    </row>
    <row r="275" spans="1:35" s="75" customFormat="1" ht="38.25">
      <c r="A275" s="398"/>
      <c r="B275" s="398"/>
      <c r="C275" s="671" t="s">
        <v>1187</v>
      </c>
      <c r="D275" s="671" t="s">
        <v>1188</v>
      </c>
      <c r="E275" s="671" t="s">
        <v>782</v>
      </c>
      <c r="F275" s="671" t="s">
        <v>1189</v>
      </c>
      <c r="G275" s="671" t="s">
        <v>783</v>
      </c>
      <c r="H275" s="671" t="s">
        <v>784</v>
      </c>
      <c r="I275" s="398"/>
      <c r="J275" s="398"/>
      <c r="K275" s="41"/>
      <c r="L275" s="398"/>
      <c r="M275" s="398"/>
      <c r="N275" s="398"/>
      <c r="O275" s="398"/>
      <c r="P275" s="398"/>
      <c r="Q275" s="398"/>
      <c r="R275" s="398"/>
      <c r="S275" s="398"/>
      <c r="T275" s="398"/>
      <c r="U275" s="398"/>
      <c r="V275" s="398"/>
      <c r="W275" s="398"/>
      <c r="X275" s="398"/>
      <c r="Y275" s="398"/>
      <c r="Z275" s="398"/>
      <c r="AA275" s="398"/>
      <c r="AB275" s="398"/>
      <c r="AC275" s="398"/>
      <c r="AD275" s="398"/>
      <c r="AE275" s="398"/>
      <c r="AF275" s="398"/>
      <c r="AG275" s="398"/>
      <c r="AH275" s="398"/>
      <c r="AI275" s="398"/>
    </row>
    <row r="276" spans="1:35" s="75" customFormat="1" ht="25.5">
      <c r="A276" s="398"/>
      <c r="B276" s="103">
        <f>Profile!$G$60</f>
        <v>43709</v>
      </c>
      <c r="C276" s="539">
        <v>0</v>
      </c>
      <c r="D276" s="539">
        <v>0</v>
      </c>
      <c r="E276" s="107">
        <v>1E-3</v>
      </c>
      <c r="F276" s="107">
        <v>1E-3</v>
      </c>
      <c r="G276" s="400"/>
      <c r="H276" s="400"/>
      <c r="I276" s="107" t="s">
        <v>1190</v>
      </c>
      <c r="J276" s="107"/>
      <c r="K276" s="41"/>
      <c r="L276" s="398"/>
      <c r="M276" s="398"/>
      <c r="N276" s="398"/>
      <c r="O276" s="398"/>
      <c r="P276" s="398"/>
      <c r="Q276" s="398"/>
      <c r="R276" s="398"/>
      <c r="S276" s="398"/>
      <c r="T276" s="398"/>
      <c r="U276" s="398"/>
      <c r="V276" s="398"/>
      <c r="W276" s="398"/>
      <c r="X276" s="398"/>
      <c r="Y276" s="398"/>
      <c r="Z276" s="398"/>
      <c r="AA276" s="398"/>
      <c r="AB276" s="398"/>
      <c r="AC276" s="398"/>
      <c r="AD276" s="398"/>
      <c r="AE276" s="398"/>
      <c r="AF276" s="398"/>
      <c r="AG276" s="398"/>
      <c r="AH276" s="398"/>
      <c r="AI276" s="398"/>
    </row>
    <row r="277" spans="1:35" s="75" customFormat="1" ht="25.5">
      <c r="A277" s="398"/>
      <c r="B277" s="103">
        <f>ROI!G103</f>
        <v>43891</v>
      </c>
      <c r="C277" s="539">
        <f>ROI!P134</f>
        <v>-94.356345249593844</v>
      </c>
      <c r="D277" s="539">
        <f>ROI!Q134</f>
        <v>0</v>
      </c>
      <c r="E277" s="400"/>
      <c r="F277" s="107">
        <v>1E-3</v>
      </c>
      <c r="G277" s="107">
        <v>1E-3</v>
      </c>
      <c r="H277" s="400"/>
      <c r="I277" s="107" t="s">
        <v>783</v>
      </c>
      <c r="J277" s="107"/>
      <c r="K277" s="41"/>
      <c r="L277" s="398"/>
      <c r="M277" s="398"/>
      <c r="N277" s="398"/>
      <c r="O277" s="398"/>
      <c r="P277" s="398"/>
      <c r="Q277" s="398"/>
      <c r="R277" s="398"/>
      <c r="S277" s="398"/>
      <c r="T277" s="398"/>
      <c r="U277" s="398"/>
      <c r="V277" s="398"/>
      <c r="W277" s="398"/>
      <c r="X277" s="398"/>
      <c r="Y277" s="398"/>
      <c r="Z277" s="398"/>
      <c r="AA277" s="398"/>
      <c r="AB277" s="398"/>
      <c r="AC277" s="398"/>
      <c r="AD277" s="398"/>
      <c r="AE277" s="398"/>
      <c r="AF277" s="398"/>
      <c r="AG277" s="398"/>
      <c r="AH277" s="398"/>
      <c r="AI277" s="398"/>
    </row>
    <row r="278" spans="1:35" s="75" customFormat="1">
      <c r="A278" s="398"/>
      <c r="B278" s="103">
        <f>IF(ROI!E105="NA","",ROI!E105)</f>
        <v>44058</v>
      </c>
      <c r="C278" s="539">
        <v>0</v>
      </c>
      <c r="D278" s="539">
        <v>0</v>
      </c>
      <c r="E278" s="400"/>
      <c r="F278" s="400"/>
      <c r="G278" s="400"/>
      <c r="H278" s="107">
        <v>1E-3</v>
      </c>
      <c r="I278" s="107" t="s">
        <v>784</v>
      </c>
      <c r="J278" s="107"/>
      <c r="K278" s="41"/>
      <c r="L278" s="398"/>
      <c r="M278" s="398"/>
      <c r="N278" s="398"/>
      <c r="O278" s="398"/>
      <c r="P278" s="398"/>
      <c r="Q278" s="398"/>
      <c r="R278" s="398"/>
      <c r="S278" s="398"/>
      <c r="T278" s="398"/>
      <c r="U278" s="398"/>
      <c r="V278" s="398"/>
      <c r="W278" s="398"/>
      <c r="X278" s="398"/>
      <c r="Y278" s="398"/>
      <c r="Z278" s="398"/>
      <c r="AA278" s="398"/>
      <c r="AB278" s="398"/>
      <c r="AC278" s="398"/>
      <c r="AD278" s="398"/>
      <c r="AE278" s="398"/>
      <c r="AF278" s="398"/>
      <c r="AG278" s="398"/>
      <c r="AH278" s="398"/>
      <c r="AI278" s="398"/>
    </row>
    <row r="279" spans="1:35" s="75" customFormat="1">
      <c r="A279" s="398"/>
      <c r="B279" s="103">
        <f>DATE(YEAR(B276),1,1)</f>
        <v>43466</v>
      </c>
      <c r="C279" s="539">
        <v>0</v>
      </c>
      <c r="D279" s="539">
        <v>0</v>
      </c>
      <c r="E279" s="398"/>
      <c r="F279" s="398"/>
      <c r="G279" s="398"/>
      <c r="H279" s="398"/>
      <c r="I279" s="107" t="s">
        <v>1191</v>
      </c>
      <c r="J279" s="107"/>
      <c r="K279" s="41"/>
      <c r="L279" s="398"/>
      <c r="M279" s="398"/>
      <c r="N279" s="398"/>
      <c r="O279" s="398"/>
      <c r="P279" s="398"/>
      <c r="Q279" s="398"/>
      <c r="R279" s="398"/>
      <c r="S279" s="398"/>
      <c r="T279" s="398"/>
      <c r="U279" s="398"/>
      <c r="V279" s="398"/>
      <c r="W279" s="398"/>
      <c r="X279" s="398"/>
      <c r="Y279" s="398"/>
      <c r="Z279" s="398"/>
      <c r="AA279" s="398"/>
      <c r="AB279" s="398"/>
      <c r="AC279" s="398"/>
      <c r="AD279" s="398"/>
      <c r="AE279" s="398"/>
      <c r="AF279" s="398"/>
      <c r="AG279" s="398"/>
      <c r="AH279" s="398"/>
      <c r="AI279" s="398"/>
    </row>
    <row r="280" spans="1:35" s="75" customFormat="1">
      <c r="A280" s="398"/>
      <c r="B280" s="103">
        <f>ROI!O135</f>
        <v>44256</v>
      </c>
      <c r="C280" s="539">
        <f>ROI!P135</f>
        <v>0</v>
      </c>
      <c r="D280" s="539">
        <f>ROI!Q135</f>
        <v>112.05123682677562</v>
      </c>
      <c r="E280" s="398"/>
      <c r="F280" s="398"/>
      <c r="G280" s="398"/>
      <c r="H280" s="398"/>
      <c r="I280" s="398"/>
      <c r="J280" s="398"/>
      <c r="K280" s="41"/>
      <c r="L280" s="398"/>
      <c r="M280" s="398"/>
      <c r="N280" s="398"/>
      <c r="O280" s="398"/>
      <c r="P280" s="398"/>
      <c r="Q280" s="398"/>
      <c r="R280" s="398"/>
      <c r="S280" s="398"/>
      <c r="T280" s="398"/>
      <c r="U280" s="398"/>
      <c r="V280" s="398"/>
      <c r="W280" s="398"/>
      <c r="X280" s="398"/>
      <c r="Y280" s="398"/>
      <c r="Z280" s="398"/>
      <c r="AA280" s="398"/>
      <c r="AB280" s="398"/>
      <c r="AC280" s="398"/>
      <c r="AD280" s="398"/>
      <c r="AE280" s="398"/>
      <c r="AF280" s="398"/>
      <c r="AG280" s="398"/>
      <c r="AH280" s="398"/>
      <c r="AI280" s="398"/>
    </row>
    <row r="281" spans="1:35" s="75" customFormat="1">
      <c r="A281" s="398"/>
      <c r="B281" s="103">
        <f>ROI!O136</f>
        <v>44621</v>
      </c>
      <c r="C281" s="539">
        <f>ROI!P136</f>
        <v>0</v>
      </c>
      <c r="D281" s="539">
        <f>ROI!Q136</f>
        <v>310.9888189031451</v>
      </c>
      <c r="E281" s="398"/>
      <c r="F281" s="398"/>
      <c r="G281" s="398"/>
      <c r="H281" s="398"/>
      <c r="I281" s="398"/>
      <c r="J281" s="398"/>
      <c r="K281" s="41"/>
      <c r="L281" s="398"/>
      <c r="M281" s="398"/>
      <c r="N281" s="398"/>
      <c r="O281" s="398"/>
      <c r="P281" s="398"/>
      <c r="Q281" s="398"/>
      <c r="R281" s="398"/>
      <c r="S281" s="398"/>
      <c r="T281" s="398"/>
      <c r="U281" s="398"/>
      <c r="V281" s="398"/>
      <c r="W281" s="398"/>
      <c r="X281" s="398"/>
      <c r="Y281" s="398"/>
      <c r="Z281" s="398"/>
      <c r="AA281" s="398"/>
      <c r="AB281" s="398"/>
      <c r="AC281" s="398"/>
      <c r="AD281" s="398"/>
      <c r="AE281" s="398"/>
      <c r="AF281" s="398"/>
      <c r="AG281" s="398"/>
      <c r="AH281" s="398"/>
      <c r="AI281" s="398"/>
    </row>
    <row r="282" spans="1:35" s="75" customFormat="1">
      <c r="A282" s="398"/>
      <c r="B282" s="103">
        <f>ROI!O137</f>
        <v>44986</v>
      </c>
      <c r="C282" s="539">
        <f>ROI!P137</f>
        <v>0</v>
      </c>
      <c r="D282" s="539">
        <f>ROI!Q137</f>
        <v>509.9264009795146</v>
      </c>
      <c r="E282" s="398"/>
      <c r="F282" s="398"/>
      <c r="G282" s="398"/>
      <c r="H282" s="398"/>
      <c r="I282" s="398"/>
      <c r="J282" s="398"/>
      <c r="K282" s="41"/>
      <c r="L282" s="398"/>
      <c r="M282" s="398"/>
      <c r="N282" s="398"/>
      <c r="O282" s="398"/>
      <c r="P282" s="398"/>
      <c r="Q282" s="398"/>
      <c r="R282" s="398"/>
      <c r="S282" s="398"/>
      <c r="T282" s="398"/>
      <c r="U282" s="398"/>
      <c r="V282" s="398"/>
      <c r="W282" s="398"/>
      <c r="X282" s="398"/>
      <c r="Y282" s="398"/>
      <c r="Z282" s="398"/>
      <c r="AA282" s="398"/>
      <c r="AB282" s="398"/>
      <c r="AC282" s="398"/>
      <c r="AD282" s="398"/>
      <c r="AE282" s="398"/>
      <c r="AF282" s="398"/>
      <c r="AG282" s="398"/>
      <c r="AH282" s="398"/>
      <c r="AI282" s="398"/>
    </row>
    <row r="283" spans="1:35" s="75" customFormat="1">
      <c r="A283" s="398"/>
      <c r="B283" s="103">
        <f>ROI!O138</f>
        <v>45352</v>
      </c>
      <c r="C283" s="539">
        <f>ROI!P138</f>
        <v>0</v>
      </c>
      <c r="D283" s="539">
        <f>ROI!Q138</f>
        <v>708.86398305588409</v>
      </c>
      <c r="E283" s="398"/>
      <c r="F283" s="398"/>
      <c r="G283" s="398"/>
      <c r="H283" s="398"/>
      <c r="I283" s="398"/>
      <c r="J283" s="398"/>
      <c r="K283" s="41"/>
      <c r="L283" s="398"/>
      <c r="M283" s="398"/>
      <c r="N283" s="398"/>
      <c r="O283" s="398"/>
      <c r="P283" s="398"/>
      <c r="Q283" s="398"/>
      <c r="R283" s="398"/>
      <c r="S283" s="398"/>
      <c r="T283" s="398"/>
      <c r="U283" s="398"/>
      <c r="V283" s="398"/>
      <c r="W283" s="398"/>
      <c r="X283" s="398"/>
      <c r="Y283" s="398"/>
      <c r="Z283" s="398"/>
      <c r="AA283" s="398"/>
      <c r="AB283" s="398"/>
      <c r="AC283" s="398"/>
      <c r="AD283" s="398"/>
      <c r="AE283" s="398"/>
      <c r="AF283" s="398"/>
      <c r="AG283" s="398"/>
      <c r="AH283" s="398"/>
      <c r="AI283" s="398"/>
    </row>
    <row r="284" spans="1:35" s="75" customFormat="1">
      <c r="A284" s="398"/>
      <c r="B284" s="103">
        <f>ROI!O139</f>
        <v>45717</v>
      </c>
      <c r="C284" s="539">
        <f>ROI!P139</f>
        <v>0</v>
      </c>
      <c r="D284" s="539">
        <f>ROI!Q139</f>
        <v>907.80156513225359</v>
      </c>
      <c r="E284" s="398"/>
      <c r="F284" s="398"/>
      <c r="G284" s="398"/>
      <c r="H284" s="398"/>
      <c r="I284" s="398"/>
      <c r="J284" s="398"/>
      <c r="K284" s="41"/>
      <c r="L284" s="398"/>
      <c r="M284" s="398"/>
      <c r="N284" s="398"/>
      <c r="O284" s="398"/>
      <c r="P284" s="398"/>
      <c r="Q284" s="398"/>
      <c r="R284" s="398"/>
      <c r="S284" s="398"/>
      <c r="T284" s="398"/>
      <c r="U284" s="398"/>
      <c r="V284" s="398"/>
      <c r="W284" s="398"/>
      <c r="X284" s="398"/>
      <c r="Y284" s="398"/>
      <c r="Z284" s="398"/>
      <c r="AA284" s="398"/>
      <c r="AB284" s="398"/>
      <c r="AC284" s="398"/>
      <c r="AD284" s="398"/>
      <c r="AE284" s="398"/>
      <c r="AF284" s="398"/>
      <c r="AG284" s="398"/>
      <c r="AH284" s="398"/>
      <c r="AI284" s="398"/>
    </row>
    <row r="285" spans="1:35" s="75" customFormat="1">
      <c r="A285" s="398"/>
      <c r="B285" s="103">
        <f>ROI!O140</f>
        <v>46082</v>
      </c>
      <c r="C285" s="539">
        <f>ROI!P140</f>
        <v>0</v>
      </c>
      <c r="D285" s="539">
        <f>ROI!Q140</f>
        <v>907.80156513225359</v>
      </c>
      <c r="E285" s="398"/>
      <c r="F285" s="398"/>
      <c r="G285" s="398"/>
      <c r="H285" s="398"/>
      <c r="I285" s="398"/>
      <c r="J285" s="398"/>
      <c r="K285" s="41"/>
      <c r="L285" s="398"/>
      <c r="M285" s="398"/>
      <c r="N285" s="398"/>
      <c r="O285" s="398"/>
      <c r="P285" s="398"/>
      <c r="Q285" s="398"/>
      <c r="R285" s="398"/>
      <c r="S285" s="398"/>
      <c r="T285" s="398"/>
      <c r="U285" s="398"/>
      <c r="V285" s="398"/>
      <c r="W285" s="398"/>
      <c r="X285" s="398"/>
      <c r="Y285" s="398"/>
      <c r="Z285" s="398"/>
      <c r="AA285" s="398"/>
      <c r="AB285" s="398"/>
      <c r="AC285" s="398"/>
      <c r="AD285" s="398"/>
      <c r="AE285" s="398"/>
      <c r="AF285" s="398"/>
      <c r="AG285" s="398"/>
      <c r="AH285" s="398"/>
      <c r="AI285" s="398"/>
    </row>
    <row r="286" spans="1:35" s="75" customFormat="1">
      <c r="A286" s="398"/>
      <c r="B286" s="103">
        <f>ROI!O141</f>
        <v>46447</v>
      </c>
      <c r="C286" s="539">
        <f>ROI!P141</f>
        <v>0</v>
      </c>
      <c r="D286" s="539">
        <f>ROI!Q141</f>
        <v>907.80156513225359</v>
      </c>
      <c r="E286" s="398"/>
      <c r="F286" s="398"/>
      <c r="G286" s="398"/>
      <c r="H286" s="398"/>
      <c r="I286" s="398"/>
      <c r="J286" s="398"/>
      <c r="K286" s="41"/>
      <c r="L286" s="398"/>
      <c r="M286" s="398"/>
      <c r="N286" s="398"/>
      <c r="O286" s="398"/>
      <c r="P286" s="398"/>
      <c r="Q286" s="398"/>
      <c r="R286" s="398"/>
      <c r="S286" s="398"/>
      <c r="T286" s="398"/>
      <c r="U286" s="398"/>
      <c r="V286" s="398"/>
      <c r="W286" s="398"/>
      <c r="X286" s="398"/>
      <c r="Y286" s="398"/>
      <c r="Z286" s="398"/>
      <c r="AA286" s="398"/>
      <c r="AB286" s="398"/>
      <c r="AC286" s="398"/>
      <c r="AD286" s="398"/>
      <c r="AE286" s="398"/>
      <c r="AF286" s="398"/>
      <c r="AG286" s="398"/>
      <c r="AH286" s="398"/>
      <c r="AI286" s="398"/>
    </row>
    <row r="287" spans="1:35" s="75" customFormat="1">
      <c r="A287" s="398"/>
      <c r="B287" s="103">
        <f>ROI!O142</f>
        <v>46813</v>
      </c>
      <c r="C287" s="539">
        <f>ROI!P142</f>
        <v>0</v>
      </c>
      <c r="D287" s="539">
        <f>ROI!Q142</f>
        <v>907.80156513225359</v>
      </c>
      <c r="E287" s="398"/>
      <c r="F287" s="398"/>
      <c r="G287" s="398"/>
      <c r="H287" s="398"/>
      <c r="I287" s="398"/>
      <c r="J287" s="398"/>
      <c r="K287" s="41"/>
      <c r="L287" s="398"/>
      <c r="M287" s="398"/>
      <c r="N287" s="398"/>
      <c r="O287" s="398"/>
      <c r="P287" s="398"/>
      <c r="Q287" s="398"/>
      <c r="R287" s="398"/>
      <c r="S287" s="398"/>
      <c r="T287" s="398"/>
      <c r="U287" s="398"/>
      <c r="V287" s="398"/>
      <c r="W287" s="398"/>
      <c r="X287" s="398"/>
      <c r="Y287" s="398"/>
      <c r="Z287" s="398"/>
      <c r="AA287" s="398"/>
      <c r="AB287" s="398"/>
      <c r="AC287" s="398"/>
      <c r="AD287" s="398"/>
      <c r="AE287" s="398"/>
      <c r="AF287" s="398"/>
      <c r="AG287" s="398"/>
      <c r="AH287" s="398"/>
      <c r="AI287" s="398"/>
    </row>
    <row r="288" spans="1:35" s="75" customFormat="1">
      <c r="A288" s="398"/>
      <c r="B288" s="103">
        <f>ROI!O143</f>
        <v>47178</v>
      </c>
      <c r="C288" s="539">
        <f>ROI!P143</f>
        <v>0</v>
      </c>
      <c r="D288" s="539">
        <f>ROI!Q143</f>
        <v>907.80156513225359</v>
      </c>
      <c r="E288" s="398"/>
      <c r="F288" s="398"/>
      <c r="G288" s="398"/>
      <c r="H288" s="398"/>
      <c r="I288" s="398"/>
      <c r="J288" s="398"/>
      <c r="K288" s="41"/>
      <c r="L288" s="398"/>
      <c r="M288" s="398"/>
      <c r="N288" s="398"/>
      <c r="O288" s="398"/>
      <c r="P288" s="398"/>
      <c r="Q288" s="398"/>
      <c r="R288" s="398"/>
      <c r="S288" s="398"/>
      <c r="T288" s="398"/>
      <c r="U288" s="398"/>
      <c r="V288" s="398"/>
      <c r="W288" s="398"/>
      <c r="X288" s="398"/>
      <c r="Y288" s="398"/>
      <c r="Z288" s="398"/>
      <c r="AA288" s="398"/>
      <c r="AB288" s="398"/>
      <c r="AC288" s="398"/>
      <c r="AD288" s="398"/>
      <c r="AE288" s="398"/>
      <c r="AF288" s="398"/>
      <c r="AG288" s="398"/>
      <c r="AH288" s="398"/>
      <c r="AI288" s="398"/>
    </row>
    <row r="289" spans="1:35" s="75" customFormat="1">
      <c r="A289" s="398"/>
      <c r="B289" s="103">
        <f>ROI!O144</f>
        <v>47543</v>
      </c>
      <c r="C289" s="539">
        <f>ROI!P144</f>
        <v>0</v>
      </c>
      <c r="D289" s="539">
        <f>ROI!Q144</f>
        <v>907.80156513225359</v>
      </c>
      <c r="E289" s="398"/>
      <c r="F289" s="398"/>
      <c r="G289" s="398"/>
      <c r="H289" s="398"/>
      <c r="I289" s="398"/>
      <c r="J289" s="398"/>
      <c r="K289" s="41"/>
      <c r="L289" s="398"/>
      <c r="M289" s="398"/>
      <c r="N289" s="398"/>
      <c r="O289" s="398"/>
      <c r="P289" s="398"/>
      <c r="Q289" s="398"/>
      <c r="R289" s="398"/>
      <c r="S289" s="398"/>
      <c r="T289" s="398"/>
      <c r="U289" s="398"/>
      <c r="V289" s="398"/>
      <c r="W289" s="398"/>
      <c r="X289" s="398"/>
      <c r="Y289" s="398"/>
      <c r="Z289" s="398"/>
      <c r="AA289" s="398"/>
      <c r="AB289" s="398"/>
      <c r="AC289" s="398"/>
      <c r="AD289" s="398"/>
      <c r="AE289" s="398"/>
      <c r="AF289" s="398"/>
      <c r="AG289" s="398"/>
      <c r="AH289" s="398"/>
      <c r="AI289" s="398"/>
    </row>
    <row r="290" spans="1:35">
      <c r="A290" s="398"/>
      <c r="B290" s="398"/>
      <c r="C290" s="398"/>
      <c r="D290" s="398"/>
      <c r="E290" s="398"/>
      <c r="F290" s="398"/>
      <c r="G290" s="398"/>
      <c r="H290" s="398"/>
      <c r="I290" s="398"/>
      <c r="J290" s="398"/>
      <c r="K290" s="398"/>
      <c r="L290" s="398"/>
      <c r="M290" s="398"/>
      <c r="N290" s="398"/>
      <c r="O290" s="398"/>
      <c r="P290" s="398"/>
      <c r="Q290" s="398"/>
      <c r="R290" s="398"/>
      <c r="S290" s="398"/>
      <c r="T290" s="398"/>
      <c r="U290" s="398"/>
      <c r="V290" s="398"/>
      <c r="W290" s="398"/>
      <c r="X290" s="398"/>
      <c r="Y290" s="398"/>
      <c r="Z290" s="398"/>
      <c r="AA290" s="398"/>
      <c r="AB290" s="398"/>
      <c r="AC290" s="398"/>
      <c r="AD290" s="398"/>
      <c r="AE290" s="398"/>
      <c r="AF290" s="398"/>
      <c r="AG290" s="398"/>
      <c r="AH290" s="398"/>
      <c r="AI290" s="398"/>
    </row>
    <row r="291" spans="1:35">
      <c r="A291" s="398"/>
      <c r="B291" s="666" t="str">
        <f>CopyRight</f>
        <v>©AnalysisPlace.  www.analysisplace.com</v>
      </c>
      <c r="C291" s="666"/>
      <c r="D291" s="666"/>
      <c r="E291" s="666"/>
      <c r="F291" s="666"/>
      <c r="G291" s="666"/>
      <c r="H291" s="398"/>
      <c r="I291" s="398"/>
      <c r="J291" s="398"/>
      <c r="K291" s="398"/>
      <c r="L291" s="398"/>
      <c r="M291" s="398"/>
      <c r="N291" s="398"/>
      <c r="O291" s="398"/>
      <c r="P291" s="398"/>
      <c r="Q291" s="398"/>
      <c r="R291" s="398"/>
      <c r="S291" s="398"/>
      <c r="T291" s="398"/>
      <c r="U291" s="398"/>
      <c r="V291" s="398"/>
      <c r="W291" s="398"/>
      <c r="X291" s="398"/>
      <c r="Y291" s="398"/>
      <c r="Z291" s="398"/>
      <c r="AA291" s="398"/>
      <c r="AB291" s="398"/>
      <c r="AC291" s="398"/>
      <c r="AD291" s="398"/>
      <c r="AE291" s="398"/>
      <c r="AF291" s="398"/>
      <c r="AG291" s="398"/>
      <c r="AH291" s="398"/>
      <c r="AI291" s="398"/>
    </row>
    <row r="292" spans="1:35">
      <c r="A292" s="398"/>
      <c r="B292" s="398"/>
      <c r="C292" s="398"/>
      <c r="D292" s="398"/>
      <c r="E292" s="398"/>
      <c r="F292" s="398"/>
      <c r="G292" s="398"/>
      <c r="H292" s="398"/>
      <c r="I292" s="398"/>
      <c r="J292" s="398"/>
      <c r="K292" s="398"/>
      <c r="L292" s="398"/>
      <c r="M292" s="398"/>
      <c r="N292" s="398"/>
      <c r="O292" s="398"/>
      <c r="P292" s="398"/>
      <c r="Q292" s="398"/>
      <c r="R292" s="398"/>
      <c r="S292" s="398"/>
      <c r="T292" s="398"/>
      <c r="U292" s="398"/>
      <c r="V292" s="398"/>
      <c r="W292" s="398"/>
      <c r="X292" s="398"/>
      <c r="Y292" s="398"/>
      <c r="Z292" s="398"/>
      <c r="AA292" s="398"/>
      <c r="AB292" s="398"/>
      <c r="AC292" s="398"/>
      <c r="AD292" s="398"/>
      <c r="AE292" s="398"/>
      <c r="AF292" s="398"/>
      <c r="AG292" s="398"/>
      <c r="AH292" s="398"/>
      <c r="AI292" s="398"/>
    </row>
    <row r="293" spans="1:35">
      <c r="A293" s="398"/>
      <c r="B293" s="398"/>
      <c r="C293" s="398"/>
      <c r="D293" s="398"/>
      <c r="E293" s="398"/>
      <c r="F293" s="398"/>
      <c r="G293" s="398"/>
      <c r="H293" s="398"/>
      <c r="I293" s="398"/>
      <c r="J293" s="398"/>
      <c r="K293" s="398"/>
      <c r="L293" s="398"/>
      <c r="M293" s="398"/>
      <c r="N293" s="398"/>
      <c r="O293" s="398"/>
      <c r="P293" s="398"/>
      <c r="Q293" s="398"/>
      <c r="R293" s="398"/>
      <c r="S293" s="398"/>
      <c r="T293" s="398"/>
      <c r="U293" s="398"/>
      <c r="V293" s="398"/>
      <c r="W293" s="398"/>
      <c r="X293" s="398"/>
      <c r="Y293" s="398"/>
      <c r="Z293" s="398"/>
      <c r="AA293" s="398"/>
      <c r="AB293" s="398"/>
      <c r="AC293" s="398"/>
      <c r="AD293" s="398"/>
      <c r="AE293" s="398"/>
      <c r="AF293" s="398"/>
      <c r="AG293" s="398"/>
      <c r="AH293" s="398"/>
      <c r="AI293" s="398"/>
    </row>
    <row r="294" spans="1:35">
      <c r="A294" s="398"/>
      <c r="B294" s="398"/>
      <c r="C294" s="398"/>
      <c r="D294" s="398"/>
      <c r="E294" s="398"/>
      <c r="F294" s="398"/>
      <c r="G294" s="398"/>
      <c r="H294" s="398"/>
      <c r="I294" s="398"/>
      <c r="J294" s="398"/>
      <c r="K294" s="398"/>
      <c r="L294" s="398"/>
      <c r="M294" s="398"/>
      <c r="N294" s="398"/>
      <c r="O294" s="398"/>
      <c r="P294" s="398"/>
      <c r="Q294" s="398"/>
      <c r="R294" s="398"/>
      <c r="S294" s="398"/>
      <c r="T294" s="398"/>
      <c r="U294" s="398"/>
      <c r="V294" s="398"/>
      <c r="W294" s="398"/>
      <c r="X294" s="398"/>
      <c r="Y294" s="398"/>
      <c r="Z294" s="398"/>
      <c r="AA294" s="398"/>
      <c r="AB294" s="398"/>
      <c r="AC294" s="398"/>
      <c r="AD294" s="398"/>
      <c r="AE294" s="398"/>
      <c r="AF294" s="398"/>
      <c r="AG294" s="398"/>
      <c r="AH294" s="398"/>
      <c r="AI294" s="398"/>
    </row>
    <row r="295" spans="1:35">
      <c r="A295" s="398"/>
      <c r="B295" s="398"/>
      <c r="C295" s="398"/>
      <c r="D295" s="398"/>
      <c r="E295" s="398"/>
      <c r="F295" s="398"/>
      <c r="G295" s="398"/>
      <c r="H295" s="398"/>
      <c r="I295" s="398"/>
      <c r="J295" s="398"/>
      <c r="K295" s="398"/>
      <c r="L295" s="398"/>
      <c r="M295" s="398"/>
      <c r="N295" s="398"/>
      <c r="O295" s="398"/>
      <c r="P295" s="398"/>
      <c r="Q295" s="398"/>
      <c r="R295" s="398"/>
      <c r="S295" s="398"/>
      <c r="T295" s="398"/>
      <c r="U295" s="398"/>
      <c r="V295" s="398"/>
      <c r="W295" s="398"/>
      <c r="X295" s="398"/>
      <c r="Y295" s="398"/>
      <c r="Z295" s="398"/>
      <c r="AA295" s="398"/>
      <c r="AB295" s="398"/>
      <c r="AC295" s="398"/>
      <c r="AD295" s="398"/>
      <c r="AE295" s="398"/>
      <c r="AF295" s="398"/>
      <c r="AG295" s="398"/>
      <c r="AH295" s="398"/>
      <c r="AI295" s="398"/>
    </row>
    <row r="296" spans="1:35">
      <c r="A296" s="398"/>
      <c r="B296" s="398"/>
      <c r="C296" s="398"/>
      <c r="D296" s="398"/>
      <c r="E296" s="398"/>
      <c r="F296" s="398"/>
      <c r="G296" s="398"/>
      <c r="H296" s="398"/>
      <c r="I296" s="398"/>
      <c r="J296" s="398"/>
      <c r="K296" s="398"/>
      <c r="L296" s="398"/>
      <c r="M296" s="398"/>
      <c r="N296" s="398"/>
      <c r="O296" s="398"/>
      <c r="P296" s="398"/>
      <c r="Q296" s="398"/>
      <c r="R296" s="398"/>
      <c r="S296" s="398"/>
      <c r="T296" s="398"/>
      <c r="U296" s="398"/>
      <c r="V296" s="398"/>
      <c r="W296" s="398"/>
      <c r="X296" s="398"/>
      <c r="Y296" s="398"/>
      <c r="Z296" s="398"/>
      <c r="AA296" s="398"/>
      <c r="AB296" s="398"/>
      <c r="AC296" s="398"/>
      <c r="AD296" s="398"/>
      <c r="AE296" s="398"/>
      <c r="AF296" s="398"/>
      <c r="AG296" s="398"/>
      <c r="AH296" s="398"/>
      <c r="AI296" s="398"/>
    </row>
    <row r="297" spans="1:35">
      <c r="A297" s="398"/>
      <c r="B297" s="398"/>
      <c r="C297" s="398"/>
      <c r="D297" s="398"/>
      <c r="E297" s="398"/>
      <c r="F297" s="398"/>
      <c r="G297" s="398"/>
      <c r="H297" s="398"/>
      <c r="I297" s="398"/>
      <c r="J297" s="398"/>
      <c r="K297" s="398"/>
      <c r="L297" s="398"/>
      <c r="M297" s="398"/>
      <c r="N297" s="398"/>
      <c r="O297" s="398"/>
      <c r="P297" s="398"/>
      <c r="Q297" s="398"/>
      <c r="R297" s="398"/>
      <c r="S297" s="398"/>
      <c r="T297" s="398"/>
      <c r="U297" s="398"/>
      <c r="V297" s="398"/>
      <c r="W297" s="398"/>
      <c r="X297" s="398"/>
      <c r="Y297" s="398"/>
      <c r="Z297" s="398"/>
      <c r="AA297" s="398"/>
      <c r="AB297" s="398"/>
      <c r="AC297" s="398"/>
      <c r="AD297" s="398"/>
      <c r="AE297" s="398"/>
      <c r="AF297" s="398"/>
      <c r="AG297" s="398"/>
      <c r="AH297" s="398"/>
      <c r="AI297" s="398"/>
    </row>
    <row r="298" spans="1:35">
      <c r="A298" s="398"/>
      <c r="B298" s="398"/>
      <c r="C298" s="398"/>
      <c r="D298" s="398"/>
      <c r="E298" s="398"/>
      <c r="F298" s="398"/>
      <c r="G298" s="398"/>
      <c r="H298" s="398"/>
      <c r="I298" s="398"/>
      <c r="J298" s="398"/>
      <c r="K298" s="398"/>
      <c r="L298" s="398"/>
      <c r="M298" s="398"/>
      <c r="N298" s="398"/>
      <c r="O298" s="398"/>
      <c r="P298" s="398"/>
      <c r="Q298" s="398"/>
      <c r="R298" s="398"/>
      <c r="S298" s="398"/>
      <c r="T298" s="398"/>
      <c r="U298" s="398"/>
      <c r="V298" s="398"/>
      <c r="W298" s="398"/>
      <c r="X298" s="398"/>
      <c r="Y298" s="398"/>
      <c r="Z298" s="398"/>
      <c r="AA298" s="398"/>
      <c r="AB298" s="398"/>
      <c r="AC298" s="398"/>
      <c r="AD298" s="398"/>
      <c r="AE298" s="398"/>
      <c r="AF298" s="398"/>
      <c r="AG298" s="398"/>
      <c r="AH298" s="398"/>
      <c r="AI298" s="398"/>
    </row>
    <row r="299" spans="1:35">
      <c r="A299" s="398"/>
      <c r="B299" s="398"/>
      <c r="C299" s="398"/>
      <c r="D299" s="398"/>
      <c r="E299" s="398"/>
      <c r="F299" s="398"/>
      <c r="G299" s="398"/>
      <c r="H299" s="398"/>
      <c r="I299" s="398"/>
      <c r="J299" s="398"/>
      <c r="K299" s="398"/>
      <c r="L299" s="398"/>
      <c r="M299" s="398"/>
      <c r="N299" s="398"/>
      <c r="O299" s="398"/>
      <c r="P299" s="398"/>
      <c r="Q299" s="398"/>
      <c r="R299" s="398"/>
      <c r="S299" s="398"/>
      <c r="T299" s="398"/>
      <c r="U299" s="398"/>
      <c r="V299" s="398"/>
      <c r="W299" s="398"/>
      <c r="X299" s="398"/>
      <c r="Y299" s="398"/>
      <c r="Z299" s="398"/>
      <c r="AA299" s="398"/>
      <c r="AB299" s="398"/>
      <c r="AC299" s="398"/>
      <c r="AD299" s="398"/>
      <c r="AE299" s="398"/>
      <c r="AF299" s="398"/>
      <c r="AG299" s="398"/>
      <c r="AH299" s="398"/>
      <c r="AI299" s="398"/>
    </row>
    <row r="300" spans="1:35">
      <c r="A300" s="398"/>
      <c r="B300" s="398"/>
      <c r="C300" s="398"/>
      <c r="D300" s="398"/>
      <c r="E300" s="398"/>
      <c r="F300" s="398"/>
      <c r="G300" s="398"/>
      <c r="H300" s="398"/>
      <c r="I300" s="398"/>
      <c r="J300" s="398"/>
      <c r="K300" s="398"/>
      <c r="L300" s="398"/>
      <c r="M300" s="398"/>
      <c r="N300" s="398"/>
      <c r="O300" s="398"/>
      <c r="P300" s="398"/>
      <c r="Q300" s="398"/>
      <c r="R300" s="398"/>
      <c r="S300" s="398"/>
      <c r="T300" s="398"/>
      <c r="U300" s="398"/>
      <c r="V300" s="398"/>
      <c r="W300" s="398"/>
      <c r="X300" s="398"/>
      <c r="Y300" s="398"/>
      <c r="Z300" s="398"/>
      <c r="AA300" s="398"/>
      <c r="AB300" s="398"/>
      <c r="AC300" s="398"/>
      <c r="AD300" s="398"/>
      <c r="AE300" s="398"/>
      <c r="AF300" s="398"/>
      <c r="AG300" s="398"/>
      <c r="AH300" s="398"/>
      <c r="AI300" s="398"/>
    </row>
    <row r="301" spans="1:35">
      <c r="A301" s="398"/>
      <c r="B301" s="398"/>
      <c r="C301" s="398"/>
      <c r="D301" s="398"/>
      <c r="E301" s="398"/>
      <c r="F301" s="398"/>
      <c r="G301" s="398"/>
      <c r="H301" s="398"/>
      <c r="I301" s="398"/>
      <c r="J301" s="398"/>
      <c r="K301" s="398"/>
      <c r="L301" s="398"/>
      <c r="M301" s="398"/>
      <c r="N301" s="398"/>
      <c r="O301" s="398"/>
      <c r="P301" s="398"/>
      <c r="Q301" s="398"/>
      <c r="R301" s="398"/>
      <c r="S301" s="398"/>
      <c r="T301" s="398"/>
      <c r="U301" s="398"/>
      <c r="V301" s="398"/>
      <c r="W301" s="398"/>
      <c r="X301" s="398"/>
      <c r="Y301" s="398"/>
      <c r="Z301" s="398"/>
      <c r="AA301" s="398"/>
      <c r="AB301" s="398"/>
      <c r="AC301" s="398"/>
      <c r="AD301" s="398"/>
      <c r="AE301" s="398"/>
      <c r="AF301" s="398"/>
      <c r="AG301" s="398"/>
      <c r="AH301" s="398"/>
      <c r="AI301" s="398"/>
    </row>
    <row r="302" spans="1:35">
      <c r="A302" s="398"/>
      <c r="B302" s="398"/>
      <c r="C302" s="398"/>
      <c r="D302" s="398"/>
      <c r="E302" s="398"/>
      <c r="F302" s="398"/>
      <c r="G302" s="398"/>
      <c r="H302" s="398"/>
      <c r="I302" s="398"/>
      <c r="J302" s="398"/>
      <c r="K302" s="398"/>
      <c r="L302" s="398"/>
      <c r="M302" s="398"/>
      <c r="N302" s="398"/>
      <c r="O302" s="398"/>
      <c r="P302" s="398"/>
      <c r="Q302" s="398"/>
      <c r="R302" s="398"/>
      <c r="S302" s="398"/>
      <c r="T302" s="398"/>
      <c r="U302" s="398"/>
      <c r="V302" s="398"/>
      <c r="W302" s="398"/>
      <c r="X302" s="398"/>
      <c r="Y302" s="398"/>
      <c r="Z302" s="398"/>
      <c r="AA302" s="398"/>
      <c r="AB302" s="398"/>
      <c r="AC302" s="398"/>
      <c r="AD302" s="398"/>
      <c r="AE302" s="398"/>
      <c r="AF302" s="398"/>
      <c r="AG302" s="398"/>
      <c r="AH302" s="398"/>
      <c r="AI302" s="398"/>
    </row>
    <row r="303" spans="1:35">
      <c r="A303" s="398"/>
      <c r="B303" s="398"/>
      <c r="C303" s="398"/>
      <c r="D303" s="398"/>
      <c r="E303" s="398"/>
      <c r="F303" s="398"/>
      <c r="G303" s="398"/>
      <c r="H303" s="398"/>
      <c r="I303" s="398"/>
      <c r="J303" s="398"/>
      <c r="K303" s="398"/>
      <c r="L303" s="398"/>
      <c r="M303" s="398"/>
      <c r="N303" s="398"/>
      <c r="O303" s="398"/>
      <c r="P303" s="398"/>
      <c r="Q303" s="398"/>
      <c r="R303" s="398"/>
      <c r="S303" s="398"/>
      <c r="T303" s="398"/>
      <c r="U303" s="398"/>
      <c r="V303" s="398"/>
      <c r="W303" s="398"/>
      <c r="X303" s="398"/>
      <c r="Y303" s="398"/>
      <c r="Z303" s="398"/>
      <c r="AA303" s="398"/>
      <c r="AB303" s="398"/>
      <c r="AC303" s="398"/>
      <c r="AD303" s="398"/>
      <c r="AE303" s="398"/>
      <c r="AF303" s="398"/>
      <c r="AG303" s="398"/>
      <c r="AH303" s="398"/>
      <c r="AI303" s="398"/>
    </row>
    <row r="304" spans="1:35">
      <c r="A304" s="398"/>
      <c r="B304" s="398"/>
      <c r="C304" s="398"/>
      <c r="D304" s="398"/>
      <c r="E304" s="398"/>
      <c r="F304" s="398"/>
      <c r="G304" s="398"/>
      <c r="H304" s="398"/>
      <c r="I304" s="398"/>
      <c r="J304" s="398"/>
      <c r="K304" s="398"/>
      <c r="L304" s="398"/>
      <c r="M304" s="398"/>
      <c r="N304" s="398"/>
      <c r="O304" s="398"/>
      <c r="P304" s="398"/>
      <c r="Q304" s="398"/>
      <c r="R304" s="398"/>
      <c r="S304" s="398"/>
      <c r="T304" s="398"/>
      <c r="U304" s="398"/>
      <c r="V304" s="398"/>
      <c r="W304" s="398"/>
      <c r="X304" s="398"/>
      <c r="Y304" s="398"/>
      <c r="Z304" s="398"/>
      <c r="AA304" s="398"/>
      <c r="AB304" s="398"/>
      <c r="AC304" s="398"/>
      <c r="AD304" s="398"/>
      <c r="AE304" s="398"/>
      <c r="AF304" s="398"/>
      <c r="AG304" s="398"/>
      <c r="AH304" s="398"/>
      <c r="AI304" s="398"/>
    </row>
    <row r="305" spans="1:35">
      <c r="A305" s="398"/>
      <c r="B305" s="398"/>
      <c r="C305" s="398"/>
      <c r="D305" s="398"/>
      <c r="E305" s="398"/>
      <c r="F305" s="398"/>
      <c r="G305" s="398"/>
      <c r="H305" s="398"/>
      <c r="I305" s="398"/>
      <c r="J305" s="398"/>
      <c r="K305" s="398"/>
      <c r="L305" s="398"/>
      <c r="M305" s="398"/>
      <c r="N305" s="398"/>
      <c r="O305" s="398"/>
      <c r="P305" s="398"/>
      <c r="Q305" s="398"/>
      <c r="R305" s="398"/>
      <c r="S305" s="398"/>
      <c r="T305" s="398"/>
      <c r="U305" s="398"/>
      <c r="V305" s="398"/>
      <c r="W305" s="398"/>
      <c r="X305" s="398"/>
      <c r="Y305" s="398"/>
      <c r="Z305" s="398"/>
      <c r="AA305" s="398"/>
      <c r="AB305" s="398"/>
      <c r="AC305" s="398"/>
      <c r="AD305" s="398"/>
      <c r="AE305" s="398"/>
      <c r="AF305" s="398"/>
      <c r="AG305" s="398"/>
      <c r="AH305" s="398"/>
      <c r="AI305" s="398"/>
    </row>
    <row r="306" spans="1:35">
      <c r="A306" s="398"/>
      <c r="B306" s="398"/>
      <c r="C306" s="398"/>
      <c r="D306" s="398"/>
      <c r="E306" s="398"/>
      <c r="F306" s="398"/>
      <c r="G306" s="398"/>
      <c r="H306" s="398"/>
      <c r="I306" s="398"/>
      <c r="J306" s="398"/>
      <c r="K306" s="398"/>
      <c r="L306" s="398"/>
      <c r="M306" s="398"/>
      <c r="N306" s="398"/>
      <c r="O306" s="398"/>
      <c r="P306" s="398"/>
      <c r="Q306" s="398"/>
      <c r="R306" s="398"/>
      <c r="S306" s="398"/>
      <c r="T306" s="398"/>
      <c r="U306" s="398"/>
      <c r="V306" s="398"/>
      <c r="W306" s="398"/>
      <c r="X306" s="398"/>
      <c r="Y306" s="398"/>
      <c r="Z306" s="398"/>
      <c r="AA306" s="398"/>
      <c r="AB306" s="398"/>
      <c r="AC306" s="398"/>
      <c r="AD306" s="398"/>
      <c r="AE306" s="398"/>
      <c r="AF306" s="398"/>
      <c r="AG306" s="398"/>
      <c r="AH306" s="398"/>
      <c r="AI306" s="398"/>
    </row>
    <row r="307" spans="1:35">
      <c r="A307" s="398"/>
      <c r="B307" s="398"/>
      <c r="C307" s="398"/>
      <c r="D307" s="398"/>
      <c r="E307" s="398"/>
      <c r="F307" s="398"/>
      <c r="G307" s="398"/>
      <c r="H307" s="398"/>
      <c r="I307" s="398"/>
      <c r="J307" s="398"/>
      <c r="K307" s="398"/>
      <c r="L307" s="398"/>
      <c r="M307" s="398"/>
      <c r="N307" s="398"/>
      <c r="O307" s="398"/>
      <c r="P307" s="398"/>
      <c r="Q307" s="398"/>
      <c r="R307" s="398"/>
      <c r="S307" s="398"/>
      <c r="T307" s="398"/>
      <c r="U307" s="398"/>
      <c r="V307" s="398"/>
      <c r="W307" s="398"/>
      <c r="X307" s="398"/>
      <c r="Y307" s="398"/>
      <c r="Z307" s="398"/>
      <c r="AA307" s="398"/>
      <c r="AB307" s="398"/>
      <c r="AC307" s="398"/>
      <c r="AD307" s="398"/>
      <c r="AE307" s="398"/>
      <c r="AF307" s="398"/>
      <c r="AG307" s="398"/>
      <c r="AH307" s="398"/>
      <c r="AI307" s="398"/>
    </row>
    <row r="308" spans="1:35">
      <c r="A308" s="398"/>
      <c r="B308" s="398"/>
      <c r="C308" s="398"/>
      <c r="D308" s="398"/>
      <c r="E308" s="398"/>
      <c r="F308" s="398"/>
      <c r="G308" s="398"/>
      <c r="H308" s="398"/>
      <c r="I308" s="398"/>
      <c r="J308" s="398"/>
      <c r="K308" s="398"/>
      <c r="L308" s="398"/>
      <c r="M308" s="398"/>
      <c r="N308" s="398"/>
      <c r="O308" s="398"/>
      <c r="P308" s="398"/>
      <c r="Q308" s="398"/>
      <c r="R308" s="398"/>
      <c r="S308" s="398"/>
      <c r="T308" s="398"/>
      <c r="U308" s="398"/>
      <c r="V308" s="398"/>
      <c r="W308" s="398"/>
      <c r="X308" s="398"/>
      <c r="Y308" s="398"/>
      <c r="Z308" s="398"/>
      <c r="AA308" s="398"/>
      <c r="AB308" s="398"/>
      <c r="AC308" s="398"/>
      <c r="AD308" s="398"/>
      <c r="AE308" s="398"/>
      <c r="AF308" s="398"/>
      <c r="AG308" s="398"/>
      <c r="AH308" s="398"/>
      <c r="AI308" s="398"/>
    </row>
    <row r="309" spans="1:35">
      <c r="A309" s="398"/>
      <c r="B309" s="398"/>
      <c r="C309" s="398"/>
      <c r="D309" s="398"/>
      <c r="E309" s="398"/>
      <c r="F309" s="398"/>
      <c r="G309" s="398"/>
      <c r="H309" s="398"/>
      <c r="I309" s="398"/>
      <c r="J309" s="398"/>
      <c r="K309" s="398"/>
      <c r="L309" s="398"/>
      <c r="M309" s="398"/>
      <c r="N309" s="398"/>
      <c r="O309" s="398"/>
      <c r="P309" s="398"/>
      <c r="Q309" s="398"/>
      <c r="R309" s="398"/>
      <c r="S309" s="398"/>
      <c r="T309" s="398"/>
      <c r="U309" s="398"/>
      <c r="V309" s="398"/>
      <c r="W309" s="398"/>
      <c r="X309" s="398"/>
      <c r="Y309" s="398"/>
      <c r="Z309" s="398"/>
      <c r="AA309" s="398"/>
      <c r="AB309" s="398"/>
      <c r="AC309" s="398"/>
      <c r="AD309" s="398"/>
      <c r="AE309" s="398"/>
      <c r="AF309" s="398"/>
      <c r="AG309" s="398"/>
      <c r="AH309" s="398"/>
      <c r="AI309" s="398"/>
    </row>
    <row r="310" spans="1:35">
      <c r="A310" s="398"/>
      <c r="B310" s="398"/>
      <c r="C310" s="398"/>
      <c r="D310" s="398"/>
      <c r="E310" s="398"/>
      <c r="F310" s="398"/>
      <c r="G310" s="398"/>
      <c r="H310" s="398"/>
      <c r="I310" s="398"/>
      <c r="J310" s="398"/>
      <c r="K310" s="398"/>
      <c r="L310" s="398"/>
      <c r="M310" s="398"/>
      <c r="N310" s="398"/>
      <c r="O310" s="398"/>
      <c r="P310" s="398"/>
      <c r="Q310" s="398"/>
      <c r="R310" s="398"/>
      <c r="S310" s="398"/>
      <c r="T310" s="398"/>
      <c r="U310" s="398"/>
      <c r="V310" s="398"/>
      <c r="W310" s="398"/>
      <c r="X310" s="398"/>
      <c r="Y310" s="398"/>
      <c r="Z310" s="398"/>
      <c r="AA310" s="398"/>
      <c r="AB310" s="398"/>
      <c r="AC310" s="398"/>
      <c r="AD310" s="398"/>
      <c r="AE310" s="398"/>
      <c r="AF310" s="398"/>
      <c r="AG310" s="398"/>
      <c r="AH310" s="398"/>
      <c r="AI310" s="398"/>
    </row>
    <row r="311" spans="1:35">
      <c r="A311" s="398"/>
      <c r="B311" s="398"/>
      <c r="C311" s="398"/>
      <c r="D311" s="398"/>
      <c r="E311" s="398"/>
      <c r="F311" s="398"/>
      <c r="G311" s="398"/>
      <c r="H311" s="398"/>
      <c r="I311" s="398"/>
      <c r="J311" s="398"/>
      <c r="K311" s="398"/>
      <c r="L311" s="398"/>
      <c r="M311" s="398"/>
      <c r="N311" s="398"/>
      <c r="O311" s="398"/>
      <c r="P311" s="398"/>
      <c r="Q311" s="398"/>
      <c r="R311" s="398"/>
      <c r="S311" s="398"/>
      <c r="T311" s="398"/>
      <c r="U311" s="398"/>
      <c r="V311" s="398"/>
      <c r="W311" s="398"/>
      <c r="X311" s="398"/>
      <c r="Y311" s="398"/>
      <c r="Z311" s="398"/>
      <c r="AA311" s="398"/>
      <c r="AB311" s="398"/>
      <c r="AC311" s="398"/>
      <c r="AD311" s="398"/>
      <c r="AE311" s="398"/>
      <c r="AF311" s="398"/>
      <c r="AG311" s="398"/>
      <c r="AH311" s="398"/>
      <c r="AI311" s="398"/>
    </row>
    <row r="312" spans="1:35">
      <c r="A312" s="398"/>
      <c r="B312" s="398"/>
      <c r="C312" s="398"/>
      <c r="D312" s="398"/>
      <c r="E312" s="398"/>
      <c r="F312" s="398"/>
      <c r="G312" s="398"/>
      <c r="H312" s="398"/>
      <c r="I312" s="398"/>
      <c r="J312" s="398"/>
      <c r="K312" s="398"/>
      <c r="L312" s="398"/>
      <c r="M312" s="398"/>
      <c r="N312" s="398"/>
      <c r="O312" s="398"/>
      <c r="P312" s="398"/>
      <c r="Q312" s="398"/>
      <c r="R312" s="398"/>
      <c r="S312" s="398"/>
      <c r="T312" s="398"/>
      <c r="U312" s="398"/>
      <c r="V312" s="398"/>
      <c r="W312" s="398"/>
      <c r="X312" s="398"/>
      <c r="Y312" s="398"/>
      <c r="Z312" s="398"/>
      <c r="AA312" s="398"/>
      <c r="AB312" s="398"/>
      <c r="AC312" s="398"/>
      <c r="AD312" s="398"/>
      <c r="AE312" s="398"/>
      <c r="AF312" s="398"/>
      <c r="AG312" s="398"/>
      <c r="AH312" s="398"/>
      <c r="AI312" s="398"/>
    </row>
    <row r="313" spans="1:35">
      <c r="A313" s="398"/>
      <c r="B313" s="398"/>
      <c r="C313" s="398"/>
      <c r="D313" s="398"/>
      <c r="E313" s="398"/>
      <c r="F313" s="398"/>
      <c r="G313" s="398"/>
      <c r="H313" s="398"/>
      <c r="I313" s="398"/>
      <c r="J313" s="398"/>
      <c r="K313" s="398"/>
      <c r="L313" s="398"/>
      <c r="M313" s="398"/>
      <c r="N313" s="398"/>
      <c r="O313" s="398"/>
      <c r="P313" s="398"/>
      <c r="Q313" s="398"/>
      <c r="R313" s="398"/>
      <c r="S313" s="398"/>
      <c r="T313" s="398"/>
      <c r="U313" s="398"/>
      <c r="V313" s="398"/>
      <c r="W313" s="398"/>
      <c r="X313" s="398"/>
      <c r="Y313" s="398"/>
      <c r="Z313" s="398"/>
      <c r="AA313" s="398"/>
      <c r="AB313" s="398"/>
      <c r="AC313" s="398"/>
      <c r="AD313" s="398"/>
      <c r="AE313" s="398"/>
      <c r="AF313" s="398"/>
      <c r="AG313" s="398"/>
      <c r="AH313" s="398"/>
      <c r="AI313" s="398"/>
    </row>
  </sheetData>
  <sheetProtection selectLockedCells="1" selectUnlockedCells="1"/>
  <mergeCells count="6">
    <mergeCell ref="Y61:AB61"/>
    <mergeCell ref="AD62:AI62"/>
    <mergeCell ref="G117:J117"/>
    <mergeCell ref="I62:L62"/>
    <mergeCell ref="M62:P62"/>
    <mergeCell ref="H62:H63"/>
  </mergeCells>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1"/>
  </sheetPr>
  <dimension ref="A1:AI369"/>
  <sheetViews>
    <sheetView workbookViewId="0" xr3:uid="{11A3ACCB-1F19-5AC9-A611-4158731A345D}">
      <selection activeCell="G14" sqref="G14"/>
    </sheetView>
  </sheetViews>
  <sheetFormatPr defaultRowHeight="12.75"/>
  <cols>
    <col min="1" max="1" width="1.7109375" style="21" customWidth="1"/>
    <col min="2" max="2" width="2.140625" customWidth="1"/>
    <col min="3" max="3" width="1.5703125" style="21" customWidth="1"/>
    <col min="4" max="4" width="33.7109375" customWidth="1"/>
    <col min="5" max="5" width="9.28515625" style="21" customWidth="1"/>
    <col min="6" max="6" width="9.5703125" style="105" customWidth="1"/>
    <col min="7" max="8" width="9.28515625" style="105" customWidth="1"/>
    <col min="9" max="9" width="7.5703125" customWidth="1"/>
    <col min="10" max="10" width="8.7109375" style="21" customWidth="1"/>
    <col min="11" max="11" width="7" customWidth="1"/>
    <col min="12" max="16" width="7" style="21" customWidth="1"/>
    <col min="17" max="17" width="8" customWidth="1"/>
    <col min="18" max="19" width="7" customWidth="1"/>
    <col min="20" max="21" width="7" style="21" customWidth="1"/>
    <col min="22" max="24" width="7" customWidth="1"/>
    <col min="25" max="25" width="7" style="21" customWidth="1"/>
    <col min="26" max="26" width="7.85546875" style="32" customWidth="1"/>
    <col min="27" max="28" width="7" style="32" customWidth="1"/>
    <col min="29" max="29" width="7" style="21" customWidth="1"/>
  </cols>
  <sheetData>
    <row r="1" spans="1:35" ht="27">
      <c r="A1" s="4" t="s">
        <v>1192</v>
      </c>
      <c r="B1" s="398"/>
      <c r="C1" s="4"/>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row>
    <row r="2" spans="1:35" s="21" customFormat="1" ht="15" customHeight="1">
      <c r="A2" s="398"/>
      <c r="B2" s="398"/>
      <c r="C2" s="398"/>
      <c r="D2" s="696" t="s">
        <v>1193</v>
      </c>
      <c r="E2" s="107">
        <f>MATCH(ProjectType,Test!I4:AC4,0)</f>
        <v>2</v>
      </c>
      <c r="F2" s="398"/>
      <c r="G2" s="398"/>
      <c r="H2" s="398"/>
      <c r="I2" s="257"/>
      <c r="J2" s="369"/>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row>
    <row r="3" spans="1:35" ht="12.75" customHeight="1">
      <c r="A3" s="398"/>
      <c r="B3" s="398"/>
      <c r="C3" s="398"/>
      <c r="D3" s="398"/>
      <c r="E3" s="398"/>
      <c r="F3" s="398"/>
      <c r="G3" s="398"/>
      <c r="H3" s="398"/>
      <c r="I3" s="835" t="s">
        <v>168</v>
      </c>
      <c r="J3" s="835"/>
      <c r="K3" s="835"/>
      <c r="L3" s="835"/>
      <c r="M3" s="835"/>
      <c r="N3" s="835"/>
      <c r="O3" s="835"/>
      <c r="P3" s="835"/>
      <c r="Q3" s="835"/>
      <c r="R3" s="835" t="s">
        <v>198</v>
      </c>
      <c r="S3" s="835"/>
      <c r="T3" s="835"/>
      <c r="U3" s="835"/>
      <c r="V3" s="835"/>
      <c r="W3" s="835"/>
      <c r="X3" s="835"/>
      <c r="Y3" s="835"/>
      <c r="Z3" s="835"/>
      <c r="AA3" s="835"/>
      <c r="AB3" s="835"/>
      <c r="AC3" s="835"/>
      <c r="AD3" s="398"/>
      <c r="AE3" s="398"/>
      <c r="AF3" s="398"/>
      <c r="AG3" s="398"/>
      <c r="AH3" s="398"/>
      <c r="AI3" s="398"/>
    </row>
    <row r="4" spans="1:35" ht="105.75" customHeight="1">
      <c r="A4" s="398"/>
      <c r="B4" s="398"/>
      <c r="C4" s="398"/>
      <c r="D4" s="671" t="s">
        <v>797</v>
      </c>
      <c r="E4" s="370" t="s">
        <v>1194</v>
      </c>
      <c r="F4" s="370"/>
      <c r="G4" s="370"/>
      <c r="H4" s="370"/>
      <c r="I4" s="370" t="str">
        <f>Solution!$B6</f>
        <v>PC/Client</v>
      </c>
      <c r="J4" s="370" t="str">
        <f>Solution!$B7</f>
        <v>Data Center / Server</v>
      </c>
      <c r="K4" s="370" t="str">
        <f>Solution!$B8</f>
        <v>Infrastructure Mgmt / Networking</v>
      </c>
      <c r="L4" s="370" t="str">
        <f>Solution!$B9</f>
        <v>Storage</v>
      </c>
      <c r="M4" s="370" t="str">
        <f>Solution!$B10</f>
        <v>Security</v>
      </c>
      <c r="N4" s="370" t="str">
        <f>Solution!$B11</f>
        <v>Application Development / Architecture</v>
      </c>
      <c r="O4" s="370" t="str">
        <f>Solution!$B12</f>
        <v>Compliance, Governance, Risk</v>
      </c>
      <c r="P4" s="370" t="str">
        <f>Solution!$B13</f>
        <v>Outsourcing</v>
      </c>
      <c r="Q4" s="370" t="str">
        <f>Solution!$B14</f>
        <v>Wireless/ Mobility</v>
      </c>
      <c r="R4" s="370" t="str">
        <f>Solution!$B17</f>
        <v>Office Productivity Software</v>
      </c>
      <c r="S4" s="370" t="str">
        <f>Solution!$B18</f>
        <v>Messaging/ Collaboration</v>
      </c>
      <c r="T4" s="370" t="str">
        <f>Solution!$B19</f>
        <v>Content Management</v>
      </c>
      <c r="U4" s="370" t="str">
        <f>Solution!$B20</f>
        <v>E-commerce / Internet</v>
      </c>
      <c r="V4" s="370" t="str">
        <f>Solution!$B21</f>
        <v>Business Process Mgmt / Integration</v>
      </c>
      <c r="W4" s="370" t="str">
        <f>Solution!$B22</f>
        <v>Business Intelligence / Data Mgmt</v>
      </c>
      <c r="X4" s="370" t="str">
        <f>Solution!$B23</f>
        <v>Business Applications (Vertical, LOB)</v>
      </c>
      <c r="Y4" s="370" t="str">
        <f>Solution!$B24</f>
        <v>CRM</v>
      </c>
      <c r="Z4" s="370" t="str">
        <f>Solution!$B25</f>
        <v>ERP / Supply Chain</v>
      </c>
      <c r="AA4" s="370" t="s">
        <v>226</v>
      </c>
      <c r="AB4" s="370" t="s">
        <v>1195</v>
      </c>
      <c r="AC4" s="370" t="s">
        <v>1196</v>
      </c>
      <c r="AD4" s="398"/>
      <c r="AE4" s="398"/>
      <c r="AF4" s="398"/>
      <c r="AG4" s="398"/>
      <c r="AH4" s="398"/>
      <c r="AI4" s="398"/>
    </row>
    <row r="5" spans="1:35" s="59" customFormat="1" ht="22.5">
      <c r="A5" s="3" t="s">
        <v>1197</v>
      </c>
      <c r="B5" s="398"/>
      <c r="C5" s="6"/>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398"/>
    </row>
    <row r="6" spans="1:35" s="59" customFormat="1" ht="13.5">
      <c r="A6" s="398"/>
      <c r="B6" s="398"/>
      <c r="C6" s="204"/>
      <c r="D6" s="373" t="s">
        <v>1198</v>
      </c>
      <c r="E6" s="73">
        <f>INDEX(I6:AC6,1,$E$2)</f>
        <v>4</v>
      </c>
      <c r="F6" s="398"/>
      <c r="G6" s="398"/>
      <c r="H6" s="398"/>
      <c r="I6" s="326">
        <v>3</v>
      </c>
      <c r="J6" s="326">
        <v>4</v>
      </c>
      <c r="K6" s="326">
        <v>3</v>
      </c>
      <c r="L6" s="326">
        <v>4</v>
      </c>
      <c r="M6" s="326">
        <v>3</v>
      </c>
      <c r="N6" s="326">
        <v>4</v>
      </c>
      <c r="O6" s="326">
        <v>3</v>
      </c>
      <c r="P6" s="326">
        <v>3</v>
      </c>
      <c r="Q6" s="326">
        <v>3</v>
      </c>
      <c r="R6" s="326">
        <v>3</v>
      </c>
      <c r="S6" s="326">
        <v>3</v>
      </c>
      <c r="T6" s="326">
        <v>3</v>
      </c>
      <c r="U6" s="326">
        <v>3</v>
      </c>
      <c r="V6" s="326">
        <v>3</v>
      </c>
      <c r="W6" s="326">
        <v>4</v>
      </c>
      <c r="X6" s="326">
        <v>3</v>
      </c>
      <c r="Y6" s="326">
        <v>4</v>
      </c>
      <c r="Z6" s="326">
        <v>7</v>
      </c>
      <c r="AA6" s="326">
        <v>3</v>
      </c>
      <c r="AB6" s="326">
        <v>3</v>
      </c>
      <c r="AC6" s="326">
        <v>3</v>
      </c>
      <c r="AD6" s="398"/>
      <c r="AE6" s="398"/>
      <c r="AF6" s="398"/>
      <c r="AG6" s="398"/>
      <c r="AH6" s="398"/>
      <c r="AI6" s="398"/>
    </row>
    <row r="7" spans="1:35" s="59" customFormat="1" ht="13.5">
      <c r="A7" s="398"/>
      <c r="B7" s="398"/>
      <c r="C7" s="204"/>
      <c r="D7" s="373" t="s">
        <v>1199</v>
      </c>
      <c r="E7" s="73">
        <f>INDEX(I7:AC7,1,$E$2)</f>
        <v>12</v>
      </c>
      <c r="F7" s="398"/>
      <c r="G7" s="398"/>
      <c r="H7" s="398"/>
      <c r="I7" s="326">
        <v>10</v>
      </c>
      <c r="J7" s="326">
        <v>12</v>
      </c>
      <c r="K7" s="326">
        <v>10</v>
      </c>
      <c r="L7" s="326">
        <v>10</v>
      </c>
      <c r="M7" s="326">
        <v>6</v>
      </c>
      <c r="N7" s="326">
        <v>6</v>
      </c>
      <c r="O7" s="326">
        <v>6</v>
      </c>
      <c r="P7" s="326">
        <v>6</v>
      </c>
      <c r="Q7" s="326">
        <v>6</v>
      </c>
      <c r="R7" s="326">
        <v>6</v>
      </c>
      <c r="S7" s="326">
        <v>6</v>
      </c>
      <c r="T7" s="326">
        <v>6</v>
      </c>
      <c r="U7" s="326">
        <v>8</v>
      </c>
      <c r="V7" s="326">
        <v>8</v>
      </c>
      <c r="W7" s="326">
        <v>12</v>
      </c>
      <c r="X7" s="326">
        <v>8</v>
      </c>
      <c r="Y7" s="326">
        <v>15</v>
      </c>
      <c r="Z7" s="326">
        <v>24</v>
      </c>
      <c r="AA7" s="326">
        <v>12</v>
      </c>
      <c r="AB7" s="326">
        <v>12</v>
      </c>
      <c r="AC7" s="326">
        <v>12</v>
      </c>
      <c r="AD7" s="398"/>
      <c r="AE7" s="398"/>
      <c r="AF7" s="398"/>
      <c r="AG7" s="398"/>
      <c r="AH7" s="398"/>
      <c r="AI7" s="398"/>
    </row>
    <row r="8" spans="1:35" s="59" customFormat="1" ht="13.5">
      <c r="A8" s="398"/>
      <c r="B8" s="398"/>
      <c r="C8" s="204"/>
      <c r="D8" s="373"/>
      <c r="E8" s="73">
        <f>INDEX(I8:AC8,1,$E$2)</f>
        <v>0</v>
      </c>
      <c r="F8" s="398"/>
      <c r="G8" s="398"/>
      <c r="H8" s="398"/>
      <c r="I8" s="326"/>
      <c r="J8" s="326"/>
      <c r="K8" s="326"/>
      <c r="L8" s="326"/>
      <c r="M8" s="326"/>
      <c r="N8" s="326"/>
      <c r="O8" s="326"/>
      <c r="P8" s="326"/>
      <c r="Q8" s="326"/>
      <c r="R8" s="326"/>
      <c r="S8" s="326"/>
      <c r="T8" s="326"/>
      <c r="U8" s="326"/>
      <c r="V8" s="326"/>
      <c r="W8" s="326"/>
      <c r="X8" s="326"/>
      <c r="Y8" s="326"/>
      <c r="Z8" s="326"/>
      <c r="AA8" s="326"/>
      <c r="AB8" s="326"/>
      <c r="AC8" s="326"/>
      <c r="AD8" s="398"/>
      <c r="AE8" s="398"/>
      <c r="AF8" s="398"/>
      <c r="AG8" s="398"/>
      <c r="AH8" s="398"/>
      <c r="AI8" s="398"/>
    </row>
    <row r="9" spans="1:35" s="21" customFormat="1" ht="22.5">
      <c r="A9" s="3" t="s">
        <v>1200</v>
      </c>
      <c r="B9" s="398"/>
      <c r="C9" s="6"/>
      <c r="D9" s="398"/>
      <c r="E9" s="398"/>
      <c r="F9" s="398"/>
      <c r="G9" s="398"/>
      <c r="H9" s="398"/>
      <c r="I9" s="398"/>
      <c r="J9" s="398"/>
      <c r="K9" s="398"/>
      <c r="L9" s="398"/>
      <c r="M9" s="398"/>
      <c r="N9" s="398"/>
      <c r="O9" s="398"/>
      <c r="P9" s="398"/>
      <c r="Q9" s="398"/>
      <c r="R9" s="398"/>
      <c r="S9" s="398"/>
      <c r="T9" s="398"/>
      <c r="U9" s="398"/>
      <c r="V9" s="398"/>
      <c r="W9" s="398"/>
      <c r="X9" s="398"/>
      <c r="Y9" s="398"/>
      <c r="Z9" s="398"/>
      <c r="AA9" s="398"/>
      <c r="AB9" s="398"/>
      <c r="AC9" s="398"/>
      <c r="AD9" s="398"/>
      <c r="AE9" s="398"/>
      <c r="AF9" s="398"/>
      <c r="AG9" s="398"/>
      <c r="AH9" s="398"/>
      <c r="AI9" s="398"/>
    </row>
    <row r="10" spans="1:35" ht="14.25">
      <c r="A10" s="398"/>
      <c r="B10" s="398"/>
      <c r="C10" s="8" t="s">
        <v>241</v>
      </c>
      <c r="D10" s="146"/>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398"/>
      <c r="AI10" s="398"/>
    </row>
    <row r="11" spans="1:35" ht="13.5">
      <c r="A11" s="398"/>
      <c r="B11" s="398"/>
      <c r="C11" s="204"/>
      <c r="D11" s="373" t="s">
        <v>247</v>
      </c>
      <c r="E11" s="35">
        <f>INDEX(I11:AC11,1,$E$2)/10*ProjectScaleScalar</f>
        <v>0</v>
      </c>
      <c r="F11" s="398"/>
      <c r="G11" s="398"/>
      <c r="H11" s="398"/>
      <c r="I11" s="326">
        <v>7</v>
      </c>
      <c r="J11" s="326"/>
      <c r="K11" s="326">
        <v>1</v>
      </c>
      <c r="L11" s="326">
        <v>2</v>
      </c>
      <c r="M11" s="326">
        <v>0.2</v>
      </c>
      <c r="N11" s="326"/>
      <c r="O11" s="326"/>
      <c r="P11" s="326"/>
      <c r="Q11" s="326">
        <v>3</v>
      </c>
      <c r="R11" s="326"/>
      <c r="S11" s="326">
        <v>1</v>
      </c>
      <c r="T11" s="326"/>
      <c r="U11" s="326">
        <v>1</v>
      </c>
      <c r="V11" s="326">
        <v>0.5</v>
      </c>
      <c r="W11" s="326">
        <v>0.4</v>
      </c>
      <c r="X11" s="326">
        <v>0.5</v>
      </c>
      <c r="Y11" s="326">
        <v>0.7</v>
      </c>
      <c r="Z11" s="326">
        <v>0.7</v>
      </c>
      <c r="AA11" s="326">
        <v>0</v>
      </c>
      <c r="AB11" s="326">
        <v>5</v>
      </c>
      <c r="AC11" s="326">
        <v>10</v>
      </c>
      <c r="AD11" s="398"/>
      <c r="AE11" s="398"/>
      <c r="AF11" s="398"/>
      <c r="AG11" s="398"/>
      <c r="AH11" s="398"/>
      <c r="AI11" s="398"/>
    </row>
    <row r="12" spans="1:35" ht="13.5">
      <c r="A12" s="398"/>
      <c r="B12" s="398"/>
      <c r="C12" s="204"/>
      <c r="D12" s="373" t="s">
        <v>1201</v>
      </c>
      <c r="E12" s="35">
        <f>INDEX(I12:AC12,1,$E$2)/10*ProjectScaleScalar</f>
        <v>0.25</v>
      </c>
      <c r="F12" s="398"/>
      <c r="G12" s="398"/>
      <c r="H12" s="398"/>
      <c r="I12" s="326">
        <v>1</v>
      </c>
      <c r="J12" s="326">
        <v>10</v>
      </c>
      <c r="K12" s="326">
        <v>5</v>
      </c>
      <c r="L12" s="326">
        <v>7</v>
      </c>
      <c r="M12" s="326">
        <v>1</v>
      </c>
      <c r="N12" s="326">
        <v>2</v>
      </c>
      <c r="O12" s="326">
        <v>1</v>
      </c>
      <c r="P12" s="326"/>
      <c r="Q12" s="326">
        <v>2</v>
      </c>
      <c r="R12" s="326">
        <v>2</v>
      </c>
      <c r="S12" s="326">
        <v>4</v>
      </c>
      <c r="T12" s="326">
        <v>8</v>
      </c>
      <c r="U12" s="326">
        <v>7</v>
      </c>
      <c r="V12" s="326">
        <v>3</v>
      </c>
      <c r="W12" s="326">
        <v>4</v>
      </c>
      <c r="X12" s="326">
        <v>2</v>
      </c>
      <c r="Y12" s="326">
        <v>3</v>
      </c>
      <c r="Z12" s="326">
        <v>4</v>
      </c>
      <c r="AA12" s="326">
        <v>0</v>
      </c>
      <c r="AB12" s="326">
        <v>5</v>
      </c>
      <c r="AC12" s="326">
        <v>10</v>
      </c>
      <c r="AD12" s="398"/>
      <c r="AE12" s="398"/>
      <c r="AF12" s="398"/>
      <c r="AG12" s="398"/>
      <c r="AH12" s="398"/>
      <c r="AI12" s="398"/>
    </row>
    <row r="13" spans="1:35">
      <c r="A13" s="398"/>
      <c r="B13" s="398"/>
      <c r="C13" s="204"/>
      <c r="D13" s="38" t="s">
        <v>259</v>
      </c>
      <c r="E13" s="398"/>
      <c r="F13" s="398"/>
      <c r="G13" s="398"/>
      <c r="H13" s="398"/>
      <c r="I13" s="274"/>
      <c r="J13" s="274"/>
      <c r="K13" s="274"/>
      <c r="L13" s="274"/>
      <c r="M13" s="274"/>
      <c r="N13" s="274"/>
      <c r="O13" s="274"/>
      <c r="P13" s="274"/>
      <c r="Q13" s="274"/>
      <c r="R13" s="274"/>
      <c r="S13" s="274"/>
      <c r="T13" s="274"/>
      <c r="U13" s="274"/>
      <c r="V13" s="274"/>
      <c r="W13" s="274"/>
      <c r="X13" s="274"/>
      <c r="Y13" s="274"/>
      <c r="Z13" s="274"/>
      <c r="AA13" s="274"/>
      <c r="AB13" s="274"/>
      <c r="AC13" s="274"/>
      <c r="AD13" s="398"/>
      <c r="AE13" s="398"/>
      <c r="AF13" s="398"/>
      <c r="AG13" s="398"/>
      <c r="AH13" s="398"/>
      <c r="AI13" s="398"/>
    </row>
    <row r="14" spans="1:35" ht="14.25">
      <c r="A14" s="398"/>
      <c r="B14" s="398"/>
      <c r="C14" s="8" t="s">
        <v>261</v>
      </c>
      <c r="D14" s="146"/>
      <c r="E14" s="398"/>
      <c r="F14" s="398"/>
      <c r="G14" s="398"/>
      <c r="H14" s="398"/>
      <c r="I14" s="274"/>
      <c r="J14" s="274"/>
      <c r="K14" s="274"/>
      <c r="L14" s="274"/>
      <c r="M14" s="274"/>
      <c r="N14" s="274"/>
      <c r="O14" s="274"/>
      <c r="P14" s="274"/>
      <c r="Q14" s="274"/>
      <c r="R14" s="274"/>
      <c r="S14" s="274"/>
      <c r="T14" s="274"/>
      <c r="U14" s="274"/>
      <c r="V14" s="274"/>
      <c r="W14" s="274"/>
      <c r="X14" s="274"/>
      <c r="Y14" s="274"/>
      <c r="Z14" s="274"/>
      <c r="AA14" s="274"/>
      <c r="AB14" s="274"/>
      <c r="AC14" s="274"/>
      <c r="AD14" s="398"/>
      <c r="AE14" s="398"/>
      <c r="AF14" s="398"/>
      <c r="AG14" s="398"/>
      <c r="AH14" s="398"/>
      <c r="AI14" s="398"/>
    </row>
    <row r="15" spans="1:35" ht="13.5">
      <c r="A15" s="398"/>
      <c r="B15" s="398"/>
      <c r="C15" s="204"/>
      <c r="D15" s="373" t="s">
        <v>266</v>
      </c>
      <c r="E15" s="35">
        <f>INDEX(I15:AC15,1,$E$2)/10*ProjectScaleScalar</f>
        <v>2.5000000000000001E-2</v>
      </c>
      <c r="F15" s="398"/>
      <c r="G15" s="398"/>
      <c r="H15" s="398"/>
      <c r="I15" s="326">
        <v>3</v>
      </c>
      <c r="J15" s="326">
        <v>1</v>
      </c>
      <c r="K15" s="326">
        <v>2</v>
      </c>
      <c r="L15" s="326">
        <v>1</v>
      </c>
      <c r="M15" s="326">
        <v>3</v>
      </c>
      <c r="N15" s="326">
        <v>2</v>
      </c>
      <c r="O15" s="326">
        <v>2</v>
      </c>
      <c r="P15" s="326">
        <v>2</v>
      </c>
      <c r="Q15" s="326">
        <v>2</v>
      </c>
      <c r="R15" s="326">
        <v>5</v>
      </c>
      <c r="S15" s="326">
        <v>3</v>
      </c>
      <c r="T15" s="326">
        <v>2</v>
      </c>
      <c r="U15" s="326">
        <v>1</v>
      </c>
      <c r="V15" s="326">
        <v>2</v>
      </c>
      <c r="W15" s="326">
        <v>4</v>
      </c>
      <c r="X15" s="326">
        <v>6</v>
      </c>
      <c r="Y15" s="326">
        <v>5</v>
      </c>
      <c r="Z15" s="326">
        <v>10</v>
      </c>
      <c r="AA15" s="326">
        <v>0</v>
      </c>
      <c r="AB15" s="326">
        <v>5</v>
      </c>
      <c r="AC15" s="326">
        <v>10</v>
      </c>
      <c r="AD15" s="398"/>
      <c r="AE15" s="398"/>
      <c r="AF15" s="398"/>
      <c r="AG15" s="398"/>
      <c r="AH15" s="398"/>
      <c r="AI15" s="398"/>
    </row>
    <row r="16" spans="1:35" ht="13.5">
      <c r="A16" s="398"/>
      <c r="B16" s="398"/>
      <c r="C16" s="204"/>
      <c r="D16" s="373" t="s">
        <v>271</v>
      </c>
      <c r="E16" s="35">
        <f>INDEX(I16:AC16,1,$E$2)/10*ProjectScaleScalar</f>
        <v>0.25</v>
      </c>
      <c r="F16" s="398"/>
      <c r="G16" s="398"/>
      <c r="H16" s="398"/>
      <c r="I16" s="326">
        <v>1</v>
      </c>
      <c r="J16" s="326">
        <v>10</v>
      </c>
      <c r="K16" s="326">
        <v>3</v>
      </c>
      <c r="L16" s="326">
        <v>4</v>
      </c>
      <c r="M16" s="326">
        <v>2</v>
      </c>
      <c r="N16" s="326">
        <v>4</v>
      </c>
      <c r="O16" s="326">
        <v>1</v>
      </c>
      <c r="P16" s="326">
        <v>2</v>
      </c>
      <c r="Q16" s="326">
        <v>3</v>
      </c>
      <c r="R16" s="326">
        <v>3</v>
      </c>
      <c r="S16" s="326">
        <v>4</v>
      </c>
      <c r="T16" s="326">
        <v>5</v>
      </c>
      <c r="U16" s="326">
        <v>7</v>
      </c>
      <c r="V16" s="326">
        <v>6</v>
      </c>
      <c r="W16" s="326">
        <v>6</v>
      </c>
      <c r="X16" s="326">
        <v>5</v>
      </c>
      <c r="Y16" s="326">
        <v>6</v>
      </c>
      <c r="Z16" s="326">
        <v>10</v>
      </c>
      <c r="AA16" s="326">
        <v>0</v>
      </c>
      <c r="AB16" s="326">
        <v>5</v>
      </c>
      <c r="AC16" s="326">
        <v>10</v>
      </c>
      <c r="AD16" s="398"/>
      <c r="AE16" s="398"/>
      <c r="AF16" s="398"/>
      <c r="AG16" s="398"/>
      <c r="AH16" s="398"/>
      <c r="AI16" s="398"/>
    </row>
    <row r="17" spans="1:35">
      <c r="A17" s="398"/>
      <c r="B17" s="398"/>
      <c r="C17" s="204"/>
      <c r="D17" s="38" t="s">
        <v>259</v>
      </c>
      <c r="E17" s="398"/>
      <c r="F17" s="398"/>
      <c r="G17" s="398"/>
      <c r="H17" s="398"/>
      <c r="I17" s="274"/>
      <c r="J17" s="274"/>
      <c r="K17" s="274"/>
      <c r="L17" s="274"/>
      <c r="M17" s="274"/>
      <c r="N17" s="274"/>
      <c r="O17" s="274"/>
      <c r="P17" s="274"/>
      <c r="Q17" s="274"/>
      <c r="R17" s="274"/>
      <c r="S17" s="274"/>
      <c r="T17" s="274"/>
      <c r="U17" s="274"/>
      <c r="V17" s="274"/>
      <c r="W17" s="274"/>
      <c r="X17" s="274"/>
      <c r="Y17" s="274"/>
      <c r="Z17" s="274"/>
      <c r="AA17" s="274"/>
      <c r="AB17" s="274"/>
      <c r="AC17" s="274"/>
      <c r="AD17" s="398"/>
      <c r="AE17" s="398"/>
      <c r="AF17" s="398"/>
      <c r="AG17" s="398"/>
      <c r="AH17" s="398"/>
      <c r="AI17" s="398"/>
    </row>
    <row r="18" spans="1:35" ht="14.25">
      <c r="A18" s="398"/>
      <c r="B18" s="398"/>
      <c r="C18" s="8" t="s">
        <v>276</v>
      </c>
      <c r="D18" s="146"/>
      <c r="E18" s="398"/>
      <c r="F18" s="398"/>
      <c r="G18" s="398"/>
      <c r="H18" s="398"/>
      <c r="I18" s="274"/>
      <c r="J18" s="274"/>
      <c r="K18" s="274"/>
      <c r="L18" s="274"/>
      <c r="M18" s="274"/>
      <c r="N18" s="274"/>
      <c r="O18" s="274"/>
      <c r="P18" s="274"/>
      <c r="Q18" s="274"/>
      <c r="R18" s="274"/>
      <c r="S18" s="274"/>
      <c r="T18" s="274"/>
      <c r="U18" s="274"/>
      <c r="V18" s="274"/>
      <c r="W18" s="274"/>
      <c r="X18" s="274"/>
      <c r="Y18" s="274"/>
      <c r="Z18" s="274"/>
      <c r="AA18" s="274"/>
      <c r="AB18" s="274"/>
      <c r="AC18" s="274"/>
      <c r="AD18" s="398"/>
      <c r="AE18" s="398"/>
      <c r="AF18" s="398"/>
      <c r="AG18" s="398"/>
      <c r="AH18" s="398"/>
      <c r="AI18" s="398"/>
    </row>
    <row r="19" spans="1:35" ht="13.5">
      <c r="A19" s="398"/>
      <c r="B19" s="398"/>
      <c r="C19" s="204"/>
      <c r="D19" s="373" t="s">
        <v>278</v>
      </c>
      <c r="E19" s="35">
        <f>INDEX(I19:AC19,1,$E$2)/10*ProjectScaleScalar</f>
        <v>7.4999999999999997E-2</v>
      </c>
      <c r="F19" s="398"/>
      <c r="G19" s="398"/>
      <c r="H19" s="398"/>
      <c r="I19" s="326">
        <v>6</v>
      </c>
      <c r="J19" s="326">
        <v>3</v>
      </c>
      <c r="K19" s="326">
        <v>3</v>
      </c>
      <c r="L19" s="326">
        <v>2</v>
      </c>
      <c r="M19" s="326">
        <v>4</v>
      </c>
      <c r="N19" s="326">
        <v>7</v>
      </c>
      <c r="O19" s="326">
        <v>3</v>
      </c>
      <c r="P19" s="326">
        <v>7</v>
      </c>
      <c r="Q19" s="326">
        <v>5</v>
      </c>
      <c r="R19" s="326">
        <v>2</v>
      </c>
      <c r="S19" s="326">
        <v>3</v>
      </c>
      <c r="T19" s="326">
        <v>3</v>
      </c>
      <c r="U19" s="326">
        <v>7</v>
      </c>
      <c r="V19" s="326">
        <v>4</v>
      </c>
      <c r="W19" s="326">
        <v>6</v>
      </c>
      <c r="X19" s="326">
        <v>3</v>
      </c>
      <c r="Y19" s="326">
        <v>6</v>
      </c>
      <c r="Z19" s="326">
        <v>10</v>
      </c>
      <c r="AA19" s="326">
        <v>0</v>
      </c>
      <c r="AB19" s="326">
        <v>5</v>
      </c>
      <c r="AC19" s="326">
        <v>10</v>
      </c>
      <c r="AD19" s="398"/>
      <c r="AE19" s="398"/>
      <c r="AF19" s="398"/>
      <c r="AG19" s="398"/>
      <c r="AH19" s="398"/>
      <c r="AI19" s="398"/>
    </row>
    <row r="20" spans="1:35" ht="13.5">
      <c r="A20" s="398"/>
      <c r="B20" s="398"/>
      <c r="C20" s="204"/>
      <c r="D20" s="373" t="s">
        <v>295</v>
      </c>
      <c r="E20" s="35">
        <f>INDEX(I20:AC20,1,$E$2)/10*ProjectScaleScalar</f>
        <v>0.05</v>
      </c>
      <c r="F20" s="398"/>
      <c r="G20" s="398"/>
      <c r="H20" s="398"/>
      <c r="I20" s="326">
        <v>2</v>
      </c>
      <c r="J20" s="326">
        <v>2</v>
      </c>
      <c r="K20" s="326">
        <v>1</v>
      </c>
      <c r="L20" s="326">
        <v>3</v>
      </c>
      <c r="M20" s="326">
        <v>3</v>
      </c>
      <c r="N20" s="326">
        <v>4</v>
      </c>
      <c r="O20" s="326">
        <v>2</v>
      </c>
      <c r="P20" s="326">
        <v>10</v>
      </c>
      <c r="Q20" s="326">
        <v>3</v>
      </c>
      <c r="R20" s="326">
        <v>3</v>
      </c>
      <c r="S20" s="326">
        <v>4</v>
      </c>
      <c r="T20" s="326">
        <v>4</v>
      </c>
      <c r="U20" s="326">
        <v>5</v>
      </c>
      <c r="V20" s="326">
        <v>6</v>
      </c>
      <c r="W20" s="326">
        <v>10</v>
      </c>
      <c r="X20" s="326">
        <v>5</v>
      </c>
      <c r="Y20" s="326">
        <v>6</v>
      </c>
      <c r="Z20" s="326">
        <v>8</v>
      </c>
      <c r="AA20" s="326">
        <v>0</v>
      </c>
      <c r="AB20" s="326">
        <v>5</v>
      </c>
      <c r="AC20" s="326">
        <v>10</v>
      </c>
      <c r="AD20" s="398"/>
      <c r="AE20" s="398"/>
      <c r="AF20" s="398"/>
      <c r="AG20" s="398"/>
      <c r="AH20" s="398"/>
      <c r="AI20" s="398"/>
    </row>
    <row r="21" spans="1:35" ht="13.5">
      <c r="A21" s="398"/>
      <c r="B21" s="398"/>
      <c r="C21" s="204"/>
      <c r="D21" s="373" t="s">
        <v>304</v>
      </c>
      <c r="E21" s="35">
        <f>INDEX(I21:AC21,1,$E$2)/10*ProjectScaleScalar</f>
        <v>0.05</v>
      </c>
      <c r="F21" s="398"/>
      <c r="G21" s="398"/>
      <c r="H21" s="398"/>
      <c r="I21" s="326">
        <v>8</v>
      </c>
      <c r="J21" s="326">
        <v>2</v>
      </c>
      <c r="K21" s="326">
        <v>3</v>
      </c>
      <c r="L21" s="326">
        <v>3</v>
      </c>
      <c r="M21" s="326">
        <v>6</v>
      </c>
      <c r="N21" s="326">
        <v>3</v>
      </c>
      <c r="O21" s="326">
        <v>2</v>
      </c>
      <c r="P21" s="326">
        <v>2</v>
      </c>
      <c r="Q21" s="326">
        <v>2</v>
      </c>
      <c r="R21" s="326">
        <v>4</v>
      </c>
      <c r="S21" s="326">
        <v>4</v>
      </c>
      <c r="T21" s="326">
        <v>3</v>
      </c>
      <c r="U21" s="326">
        <v>1</v>
      </c>
      <c r="V21" s="326">
        <v>4</v>
      </c>
      <c r="W21" s="326">
        <v>6</v>
      </c>
      <c r="X21" s="326">
        <v>5</v>
      </c>
      <c r="Y21" s="326">
        <v>7</v>
      </c>
      <c r="Z21" s="326">
        <v>10</v>
      </c>
      <c r="AA21" s="326">
        <v>0</v>
      </c>
      <c r="AB21" s="326">
        <v>5</v>
      </c>
      <c r="AC21" s="326">
        <v>10</v>
      </c>
      <c r="AD21" s="398"/>
      <c r="AE21" s="398"/>
      <c r="AF21" s="398"/>
      <c r="AG21" s="398"/>
      <c r="AH21" s="398"/>
      <c r="AI21" s="398"/>
    </row>
    <row r="22" spans="1:35" ht="13.5">
      <c r="A22" s="398"/>
      <c r="B22" s="398"/>
      <c r="C22" s="204"/>
      <c r="D22" s="373" t="s">
        <v>309</v>
      </c>
      <c r="E22" s="35">
        <f>INDEX(I22:AC22,1,$E$2)/10*ProjectScaleScalar</f>
        <v>0.2</v>
      </c>
      <c r="F22" s="398"/>
      <c r="G22" s="398"/>
      <c r="H22" s="398"/>
      <c r="I22" s="326">
        <v>7</v>
      </c>
      <c r="J22" s="326">
        <v>8</v>
      </c>
      <c r="K22" s="326">
        <v>10</v>
      </c>
      <c r="L22" s="326">
        <v>3</v>
      </c>
      <c r="M22" s="326">
        <v>4</v>
      </c>
      <c r="N22" s="326">
        <v>9</v>
      </c>
      <c r="O22" s="326">
        <v>4</v>
      </c>
      <c r="P22" s="326">
        <v>5</v>
      </c>
      <c r="Q22" s="326">
        <v>3</v>
      </c>
      <c r="R22" s="326">
        <v>4</v>
      </c>
      <c r="S22" s="326">
        <v>4</v>
      </c>
      <c r="T22" s="326">
        <v>4</v>
      </c>
      <c r="U22" s="326">
        <v>4</v>
      </c>
      <c r="V22" s="326">
        <v>4</v>
      </c>
      <c r="W22" s="326">
        <v>5</v>
      </c>
      <c r="X22" s="326">
        <v>3</v>
      </c>
      <c r="Y22" s="326">
        <v>5</v>
      </c>
      <c r="Z22" s="326">
        <v>6</v>
      </c>
      <c r="AA22" s="326">
        <v>0</v>
      </c>
      <c r="AB22" s="326">
        <v>5</v>
      </c>
      <c r="AC22" s="326">
        <v>10</v>
      </c>
      <c r="AD22" s="398"/>
      <c r="AE22" s="398"/>
      <c r="AF22" s="398"/>
      <c r="AG22" s="398"/>
      <c r="AH22" s="398"/>
      <c r="AI22" s="398"/>
    </row>
    <row r="23" spans="1:35">
      <c r="A23" s="398"/>
      <c r="B23" s="398"/>
      <c r="C23" s="204"/>
      <c r="D23" s="38" t="s">
        <v>259</v>
      </c>
      <c r="E23" s="398"/>
      <c r="F23" s="398"/>
      <c r="G23" s="398"/>
      <c r="H23" s="398"/>
      <c r="I23" s="274"/>
      <c r="J23" s="274"/>
      <c r="K23" s="274"/>
      <c r="L23" s="274"/>
      <c r="M23" s="274"/>
      <c r="N23" s="274"/>
      <c r="O23" s="274"/>
      <c r="P23" s="274"/>
      <c r="Q23" s="274"/>
      <c r="R23" s="274"/>
      <c r="S23" s="274"/>
      <c r="T23" s="274"/>
      <c r="U23" s="274"/>
      <c r="V23" s="274"/>
      <c r="W23" s="274"/>
      <c r="X23" s="274"/>
      <c r="Y23" s="274"/>
      <c r="Z23" s="274"/>
      <c r="AA23" s="274"/>
      <c r="AB23" s="274"/>
      <c r="AC23" s="274"/>
      <c r="AD23" s="398"/>
      <c r="AE23" s="398"/>
      <c r="AF23" s="398"/>
      <c r="AG23" s="398"/>
      <c r="AH23" s="398"/>
      <c r="AI23" s="398"/>
    </row>
    <row r="24" spans="1:35" ht="14.25">
      <c r="A24" s="398"/>
      <c r="B24" s="398"/>
      <c r="C24" s="8" t="s">
        <v>320</v>
      </c>
      <c r="D24" s="146"/>
      <c r="E24" s="398"/>
      <c r="F24" s="398"/>
      <c r="G24" s="398"/>
      <c r="H24" s="398"/>
      <c r="I24" s="274"/>
      <c r="J24" s="274"/>
      <c r="K24" s="274"/>
      <c r="L24" s="274"/>
      <c r="M24" s="274"/>
      <c r="N24" s="274"/>
      <c r="O24" s="274"/>
      <c r="P24" s="274"/>
      <c r="Q24" s="274"/>
      <c r="R24" s="274"/>
      <c r="S24" s="274"/>
      <c r="T24" s="274"/>
      <c r="U24" s="274"/>
      <c r="V24" s="274"/>
      <c r="W24" s="274"/>
      <c r="X24" s="274"/>
      <c r="Y24" s="274"/>
      <c r="Z24" s="274"/>
      <c r="AA24" s="274"/>
      <c r="AB24" s="274"/>
      <c r="AC24" s="274"/>
      <c r="AD24" s="398"/>
      <c r="AE24" s="398"/>
      <c r="AF24" s="398"/>
      <c r="AG24" s="398"/>
      <c r="AH24" s="398"/>
      <c r="AI24" s="398"/>
    </row>
    <row r="25" spans="1:35" ht="13.5">
      <c r="A25" s="398"/>
      <c r="B25" s="398"/>
      <c r="C25" s="204"/>
      <c r="D25" s="373" t="s">
        <v>322</v>
      </c>
      <c r="E25" s="35">
        <f>INDEX(I25:AC25,1,$E$2)/10*ProjectScaleScalar</f>
        <v>2.5000000000000001E-2</v>
      </c>
      <c r="F25" s="398"/>
      <c r="G25" s="398"/>
      <c r="H25" s="398"/>
      <c r="I25" s="326">
        <v>4</v>
      </c>
      <c r="J25" s="326">
        <v>1</v>
      </c>
      <c r="K25" s="326">
        <v>1</v>
      </c>
      <c r="L25" s="326">
        <v>1</v>
      </c>
      <c r="M25" s="326">
        <v>3</v>
      </c>
      <c r="N25" s="326">
        <v>1</v>
      </c>
      <c r="O25" s="326">
        <v>2</v>
      </c>
      <c r="P25" s="326">
        <v>4</v>
      </c>
      <c r="Q25" s="326">
        <v>2</v>
      </c>
      <c r="R25" s="326">
        <v>6</v>
      </c>
      <c r="S25" s="326">
        <v>2</v>
      </c>
      <c r="T25" s="326">
        <v>4</v>
      </c>
      <c r="U25" s="326">
        <v>5</v>
      </c>
      <c r="V25" s="326">
        <v>5</v>
      </c>
      <c r="W25" s="326">
        <v>5</v>
      </c>
      <c r="X25" s="326">
        <v>5</v>
      </c>
      <c r="Y25" s="326">
        <v>7</v>
      </c>
      <c r="Z25" s="326">
        <v>10</v>
      </c>
      <c r="AA25" s="326">
        <v>0</v>
      </c>
      <c r="AB25" s="326">
        <v>5</v>
      </c>
      <c r="AC25" s="326">
        <v>10</v>
      </c>
      <c r="AD25" s="398"/>
      <c r="AE25" s="398"/>
      <c r="AF25" s="398"/>
      <c r="AG25" s="398"/>
      <c r="AH25" s="398"/>
      <c r="AI25" s="398"/>
    </row>
    <row r="26" spans="1:35" ht="13.5">
      <c r="A26" s="398"/>
      <c r="B26" s="398"/>
      <c r="C26" s="204"/>
      <c r="D26" s="373" t="s">
        <v>331</v>
      </c>
      <c r="E26" s="35">
        <f>INDEX(I26:AC26,1,$E$2)/10*ProjectScaleScalar</f>
        <v>2.5000000000000001E-2</v>
      </c>
      <c r="F26" s="398"/>
      <c r="G26" s="398"/>
      <c r="H26" s="398"/>
      <c r="I26" s="326">
        <v>5</v>
      </c>
      <c r="J26" s="326">
        <v>1</v>
      </c>
      <c r="K26" s="326">
        <v>1</v>
      </c>
      <c r="L26" s="326">
        <v>1</v>
      </c>
      <c r="M26" s="326">
        <v>2</v>
      </c>
      <c r="N26" s="326">
        <v>1</v>
      </c>
      <c r="O26" s="326">
        <v>2</v>
      </c>
      <c r="P26" s="326">
        <v>2</v>
      </c>
      <c r="Q26" s="326">
        <v>1</v>
      </c>
      <c r="R26" s="326">
        <v>6</v>
      </c>
      <c r="S26" s="326">
        <v>2</v>
      </c>
      <c r="T26" s="326">
        <v>3</v>
      </c>
      <c r="U26" s="326">
        <v>4</v>
      </c>
      <c r="V26" s="326">
        <v>4</v>
      </c>
      <c r="W26" s="326">
        <v>5</v>
      </c>
      <c r="X26" s="326">
        <v>5</v>
      </c>
      <c r="Y26" s="326">
        <v>4</v>
      </c>
      <c r="Z26" s="326">
        <v>10</v>
      </c>
      <c r="AA26" s="326">
        <v>0</v>
      </c>
      <c r="AB26" s="326">
        <v>5</v>
      </c>
      <c r="AC26" s="326">
        <v>10</v>
      </c>
      <c r="AD26" s="398"/>
      <c r="AE26" s="398"/>
      <c r="AF26" s="398"/>
      <c r="AG26" s="398"/>
      <c r="AH26" s="398"/>
      <c r="AI26" s="398"/>
    </row>
    <row r="27" spans="1:35">
      <c r="A27" s="398"/>
      <c r="B27" s="398"/>
      <c r="C27" s="204"/>
      <c r="D27" s="38" t="s">
        <v>259</v>
      </c>
      <c r="E27" s="398"/>
      <c r="F27" s="398"/>
      <c r="G27" s="398"/>
      <c r="H27" s="398"/>
      <c r="I27" s="274"/>
      <c r="J27" s="274"/>
      <c r="K27" s="274"/>
      <c r="L27" s="274"/>
      <c r="M27" s="274"/>
      <c r="N27" s="274"/>
      <c r="O27" s="274"/>
      <c r="P27" s="274"/>
      <c r="Q27" s="274"/>
      <c r="R27" s="274"/>
      <c r="S27" s="274"/>
      <c r="T27" s="274"/>
      <c r="U27" s="274"/>
      <c r="V27" s="274"/>
      <c r="W27" s="274"/>
      <c r="X27" s="274"/>
      <c r="Y27" s="274"/>
      <c r="Z27" s="274"/>
      <c r="AA27" s="274"/>
      <c r="AB27" s="274"/>
      <c r="AC27" s="274"/>
      <c r="AD27" s="398"/>
      <c r="AE27" s="398"/>
      <c r="AF27" s="398"/>
      <c r="AG27" s="398"/>
      <c r="AH27" s="398"/>
      <c r="AI27" s="398"/>
    </row>
    <row r="28" spans="1:35" s="28" customFormat="1" ht="6.75" customHeight="1" thickBot="1">
      <c r="A28" s="398"/>
      <c r="B28" s="398"/>
      <c r="C28" s="398"/>
      <c r="D28" s="398"/>
      <c r="E28" s="398"/>
      <c r="F28" s="398"/>
      <c r="G28" s="398"/>
      <c r="H28" s="398"/>
      <c r="I28" s="274"/>
      <c r="J28" s="274"/>
      <c r="K28" s="274"/>
      <c r="L28" s="274"/>
      <c r="M28" s="274"/>
      <c r="N28" s="274"/>
      <c r="O28" s="274"/>
      <c r="P28" s="274"/>
      <c r="Q28" s="274"/>
      <c r="R28" s="274"/>
      <c r="S28" s="274"/>
      <c r="T28" s="274"/>
      <c r="U28" s="274"/>
      <c r="V28" s="274"/>
      <c r="W28" s="274"/>
      <c r="X28" s="274"/>
      <c r="Y28" s="274"/>
      <c r="Z28" s="274"/>
      <c r="AA28" s="274"/>
      <c r="AB28" s="274"/>
      <c r="AC28" s="274"/>
      <c r="AD28" s="398"/>
      <c r="AE28" s="398"/>
      <c r="AF28" s="398"/>
      <c r="AG28" s="398"/>
      <c r="AH28" s="398"/>
      <c r="AI28" s="398"/>
    </row>
    <row r="29" spans="1:35" ht="13.5" thickTop="1">
      <c r="A29" s="398"/>
      <c r="B29" s="398"/>
      <c r="C29" s="204"/>
      <c r="D29" s="39" t="s">
        <v>236</v>
      </c>
      <c r="E29" s="398"/>
      <c r="F29" s="398"/>
      <c r="G29" s="398"/>
      <c r="H29" s="398"/>
      <c r="I29" s="371">
        <f>SUM(I11:I28)</f>
        <v>44</v>
      </c>
      <c r="J29" s="371">
        <f t="shared" ref="J29:Y29" si="0">SUM(J11:J28)</f>
        <v>38</v>
      </c>
      <c r="K29" s="371">
        <f t="shared" si="0"/>
        <v>30</v>
      </c>
      <c r="L29" s="371">
        <f t="shared" si="0"/>
        <v>27</v>
      </c>
      <c r="M29" s="371">
        <f t="shared" si="0"/>
        <v>28.2</v>
      </c>
      <c r="N29" s="371">
        <f t="shared" si="0"/>
        <v>33</v>
      </c>
      <c r="O29" s="371">
        <f t="shared" si="0"/>
        <v>19</v>
      </c>
      <c r="P29" s="371">
        <f t="shared" si="0"/>
        <v>34</v>
      </c>
      <c r="Q29" s="371">
        <f t="shared" si="0"/>
        <v>26</v>
      </c>
      <c r="R29" s="371">
        <f t="shared" si="0"/>
        <v>35</v>
      </c>
      <c r="S29" s="371">
        <f t="shared" si="0"/>
        <v>31</v>
      </c>
      <c r="T29" s="371">
        <f t="shared" si="0"/>
        <v>36</v>
      </c>
      <c r="U29" s="371">
        <f t="shared" si="0"/>
        <v>42</v>
      </c>
      <c r="V29" s="371">
        <f t="shared" si="0"/>
        <v>38.5</v>
      </c>
      <c r="W29" s="371">
        <f t="shared" si="0"/>
        <v>51.4</v>
      </c>
      <c r="X29" s="371">
        <f t="shared" si="0"/>
        <v>39.5</v>
      </c>
      <c r="Y29" s="371">
        <f t="shared" si="0"/>
        <v>49.7</v>
      </c>
      <c r="Z29" s="371">
        <f>SUM(Z11:Z28)</f>
        <v>78.7</v>
      </c>
      <c r="AA29" s="371">
        <f>SUM(AA11:AA28)</f>
        <v>0</v>
      </c>
      <c r="AB29" s="371">
        <f>SUM(AB11:AB28)</f>
        <v>50</v>
      </c>
      <c r="AC29" s="371">
        <f>SUM(AC11:AC28)</f>
        <v>100</v>
      </c>
      <c r="AD29" s="398"/>
      <c r="AE29" s="398"/>
      <c r="AF29" s="398"/>
      <c r="AG29" s="398"/>
      <c r="AH29" s="398"/>
      <c r="AI29" s="398"/>
    </row>
    <row r="30" spans="1:35" s="28" customFormat="1" ht="6.75" customHeight="1">
      <c r="A30" s="398"/>
      <c r="B30" s="398"/>
      <c r="C30" s="398"/>
      <c r="D30" s="398"/>
      <c r="E30" s="398"/>
      <c r="F30" s="398"/>
      <c r="G30" s="398"/>
      <c r="H30" s="398"/>
      <c r="I30" s="274"/>
      <c r="J30" s="274"/>
      <c r="K30" s="274"/>
      <c r="L30" s="274"/>
      <c r="M30" s="274"/>
      <c r="N30" s="274"/>
      <c r="O30" s="274"/>
      <c r="P30" s="274"/>
      <c r="Q30" s="274"/>
      <c r="R30" s="274"/>
      <c r="S30" s="274"/>
      <c r="T30" s="274"/>
      <c r="U30" s="274"/>
      <c r="V30" s="274"/>
      <c r="W30" s="274"/>
      <c r="X30" s="274"/>
      <c r="Y30" s="274"/>
      <c r="Z30" s="274"/>
      <c r="AA30" s="274"/>
      <c r="AB30" s="274"/>
      <c r="AC30" s="274"/>
      <c r="AD30" s="398"/>
      <c r="AE30" s="398"/>
      <c r="AF30" s="398"/>
      <c r="AG30" s="398"/>
      <c r="AH30" s="398"/>
      <c r="AI30" s="398"/>
    </row>
    <row r="31" spans="1:35" s="21" customFormat="1" ht="22.5">
      <c r="A31" s="27" t="s">
        <v>1202</v>
      </c>
      <c r="B31" s="398"/>
      <c r="C31" s="398"/>
      <c r="D31" s="257"/>
      <c r="E31" s="257"/>
      <c r="F31" s="398"/>
      <c r="G31" s="398"/>
      <c r="H31" s="398"/>
      <c r="I31" s="372"/>
      <c r="J31" s="372"/>
      <c r="K31" s="274"/>
      <c r="L31" s="274"/>
      <c r="M31" s="274"/>
      <c r="N31" s="274"/>
      <c r="O31" s="274"/>
      <c r="P31" s="274"/>
      <c r="Q31" s="274"/>
      <c r="R31" s="274"/>
      <c r="S31" s="274"/>
      <c r="T31" s="274"/>
      <c r="U31" s="274"/>
      <c r="V31" s="274"/>
      <c r="W31" s="274"/>
      <c r="X31" s="274"/>
      <c r="Y31" s="274"/>
      <c r="Z31" s="274"/>
      <c r="AA31" s="274"/>
      <c r="AB31" s="274"/>
      <c r="AC31" s="274"/>
      <c r="AD31" s="398"/>
      <c r="AE31" s="398"/>
      <c r="AF31" s="398"/>
      <c r="AG31" s="398"/>
      <c r="AH31" s="398"/>
      <c r="AI31" s="398"/>
    </row>
    <row r="32" spans="1:35" s="75" customFormat="1" ht="15">
      <c r="A32" s="398"/>
      <c r="B32" s="6" t="s">
        <v>21</v>
      </c>
      <c r="C32" s="6"/>
      <c r="D32" s="398"/>
      <c r="E32" s="398"/>
      <c r="F32" s="398"/>
      <c r="G32" s="398"/>
      <c r="H32" s="398"/>
      <c r="I32" s="274"/>
      <c r="J32" s="274"/>
      <c r="K32" s="274"/>
      <c r="L32" s="274"/>
      <c r="M32" s="274"/>
      <c r="N32" s="274"/>
      <c r="O32" s="274"/>
      <c r="P32" s="274"/>
      <c r="Q32" s="274"/>
      <c r="R32" s="274"/>
      <c r="S32" s="274"/>
      <c r="T32" s="274"/>
      <c r="U32" s="274"/>
      <c r="V32" s="274"/>
      <c r="W32" s="274"/>
      <c r="X32" s="274"/>
      <c r="Y32" s="274"/>
      <c r="Z32" s="274"/>
      <c r="AA32" s="274"/>
      <c r="AB32" s="274"/>
      <c r="AC32" s="274"/>
      <c r="AD32" s="398"/>
      <c r="AE32" s="398"/>
      <c r="AF32" s="398"/>
      <c r="AG32" s="398"/>
      <c r="AH32" s="398"/>
      <c r="AI32" s="398"/>
    </row>
    <row r="33" spans="1:35" s="75" customFormat="1" ht="15">
      <c r="A33" s="398"/>
      <c r="B33" s="6"/>
      <c r="C33" s="6" t="s">
        <v>369</v>
      </c>
      <c r="D33" s="398"/>
      <c r="E33" s="398"/>
      <c r="F33" s="398"/>
      <c r="G33" s="398"/>
      <c r="H33" s="398"/>
      <c r="I33" s="274"/>
      <c r="J33" s="274"/>
      <c r="K33" s="274"/>
      <c r="L33" s="274"/>
      <c r="M33" s="274"/>
      <c r="N33" s="274"/>
      <c r="O33" s="274"/>
      <c r="P33" s="274"/>
      <c r="Q33" s="274"/>
      <c r="R33" s="274"/>
      <c r="S33" s="274"/>
      <c r="T33" s="274"/>
      <c r="U33" s="274"/>
      <c r="V33" s="274"/>
      <c r="W33" s="274"/>
      <c r="X33" s="274"/>
      <c r="Y33" s="274"/>
      <c r="Z33" s="274"/>
      <c r="AA33" s="274"/>
      <c r="AB33" s="274"/>
      <c r="AC33" s="274"/>
      <c r="AD33" s="398"/>
      <c r="AE33" s="398"/>
      <c r="AF33" s="398"/>
      <c r="AG33" s="398"/>
      <c r="AH33" s="398"/>
      <c r="AI33" s="398"/>
    </row>
    <row r="34" spans="1:35" s="75" customFormat="1" ht="15">
      <c r="A34" s="398"/>
      <c r="B34" s="6"/>
      <c r="C34" s="6"/>
      <c r="D34" s="148" t="s">
        <v>361</v>
      </c>
      <c r="E34" s="398"/>
      <c r="F34" s="398"/>
      <c r="G34" s="398"/>
      <c r="H34" s="398"/>
      <c r="I34" s="274"/>
      <c r="J34" s="274"/>
      <c r="K34" s="274"/>
      <c r="L34" s="274"/>
      <c r="M34" s="274"/>
      <c r="N34" s="274"/>
      <c r="O34" s="274"/>
      <c r="P34" s="274"/>
      <c r="Q34" s="274"/>
      <c r="R34" s="274"/>
      <c r="S34" s="274"/>
      <c r="T34" s="274"/>
      <c r="U34" s="274"/>
      <c r="V34" s="274"/>
      <c r="W34" s="274"/>
      <c r="X34" s="274"/>
      <c r="Y34" s="274"/>
      <c r="Z34" s="274"/>
      <c r="AA34" s="274"/>
      <c r="AB34" s="274"/>
      <c r="AC34" s="274"/>
      <c r="AD34" s="398"/>
      <c r="AE34" s="398"/>
      <c r="AF34" s="398"/>
      <c r="AG34" s="398"/>
      <c r="AH34" s="398"/>
      <c r="AI34" s="398"/>
    </row>
    <row r="35" spans="1:35" s="75" customFormat="1" ht="15">
      <c r="A35" s="398"/>
      <c r="B35" s="6"/>
      <c r="C35" s="398"/>
      <c r="D35" s="700" t="s">
        <v>248</v>
      </c>
      <c r="E35" s="35">
        <f>INDEX(I35:AC35,1,$E$2)/10*ProjectScaleScalar</f>
        <v>0</v>
      </c>
      <c r="F35" s="398"/>
      <c r="G35" s="398"/>
      <c r="H35" s="398"/>
      <c r="I35" s="326"/>
      <c r="J35" s="326"/>
      <c r="K35" s="326"/>
      <c r="L35" s="326"/>
      <c r="M35" s="326"/>
      <c r="N35" s="326"/>
      <c r="O35" s="326"/>
      <c r="P35" s="326">
        <v>7</v>
      </c>
      <c r="Q35" s="326"/>
      <c r="R35" s="326"/>
      <c r="S35" s="326"/>
      <c r="T35" s="326"/>
      <c r="U35" s="326"/>
      <c r="V35" s="326"/>
      <c r="W35" s="326"/>
      <c r="X35" s="326"/>
      <c r="Y35" s="326"/>
      <c r="Z35" s="326"/>
      <c r="AA35" s="326">
        <v>0</v>
      </c>
      <c r="AB35" s="326">
        <v>5</v>
      </c>
      <c r="AC35" s="326">
        <v>10</v>
      </c>
      <c r="AD35" s="398"/>
      <c r="AE35" s="398"/>
      <c r="AF35" s="398"/>
      <c r="AG35" s="398"/>
      <c r="AH35" s="398"/>
      <c r="AI35" s="398"/>
    </row>
    <row r="36" spans="1:35" s="75" customFormat="1" ht="15">
      <c r="A36" s="398"/>
      <c r="B36" s="6"/>
      <c r="C36" s="108"/>
      <c r="D36" s="700" t="s">
        <v>250</v>
      </c>
      <c r="E36" s="35">
        <f>INDEX(I36:AC36,1,$E$2)/10*ProjectScaleScalar</f>
        <v>0</v>
      </c>
      <c r="F36" s="398"/>
      <c r="G36" s="398"/>
      <c r="H36" s="398"/>
      <c r="I36" s="326"/>
      <c r="J36" s="326"/>
      <c r="K36" s="326">
        <v>2</v>
      </c>
      <c r="L36" s="326"/>
      <c r="M36" s="326"/>
      <c r="N36" s="326"/>
      <c r="O36" s="326"/>
      <c r="P36" s="326">
        <v>7</v>
      </c>
      <c r="Q36" s="326"/>
      <c r="R36" s="326"/>
      <c r="S36" s="326"/>
      <c r="T36" s="326"/>
      <c r="U36" s="326"/>
      <c r="V36" s="326"/>
      <c r="W36" s="326"/>
      <c r="X36" s="326"/>
      <c r="Y36" s="326"/>
      <c r="Z36" s="326"/>
      <c r="AA36" s="326">
        <v>0</v>
      </c>
      <c r="AB36" s="326">
        <v>5</v>
      </c>
      <c r="AC36" s="326">
        <v>10</v>
      </c>
      <c r="AD36" s="398"/>
      <c r="AE36" s="398"/>
      <c r="AF36" s="398"/>
      <c r="AG36" s="398"/>
      <c r="AH36" s="398"/>
      <c r="AI36" s="398"/>
    </row>
    <row r="37" spans="1:35" s="75" customFormat="1" ht="15">
      <c r="A37" s="398"/>
      <c r="B37" s="6"/>
      <c r="C37" s="398"/>
      <c r="D37" s="700" t="s">
        <v>255</v>
      </c>
      <c r="E37" s="35">
        <f>INDEX(I37:AC37,1,$E$2)/10*ProjectScaleScalar</f>
        <v>0.2</v>
      </c>
      <c r="F37" s="398"/>
      <c r="G37" s="398"/>
      <c r="H37" s="398"/>
      <c r="I37" s="326"/>
      <c r="J37" s="326">
        <v>8</v>
      </c>
      <c r="K37" s="326"/>
      <c r="L37" s="326"/>
      <c r="M37" s="326"/>
      <c r="N37" s="326"/>
      <c r="O37" s="326">
        <v>5</v>
      </c>
      <c r="P37" s="326">
        <v>7</v>
      </c>
      <c r="Q37" s="326"/>
      <c r="R37" s="326"/>
      <c r="S37" s="326"/>
      <c r="T37" s="326"/>
      <c r="U37" s="326"/>
      <c r="V37" s="326"/>
      <c r="W37" s="326">
        <v>2</v>
      </c>
      <c r="X37" s="326"/>
      <c r="Y37" s="326"/>
      <c r="Z37" s="326"/>
      <c r="AA37" s="326">
        <v>0</v>
      </c>
      <c r="AB37" s="326">
        <v>5</v>
      </c>
      <c r="AC37" s="326">
        <v>10</v>
      </c>
      <c r="AD37" s="398"/>
      <c r="AE37" s="398"/>
      <c r="AF37" s="398"/>
      <c r="AG37" s="398"/>
      <c r="AH37" s="398"/>
      <c r="AI37" s="398"/>
    </row>
    <row r="38" spans="1:35" s="75" customFormat="1" ht="15.75" thickBot="1">
      <c r="A38" s="398"/>
      <c r="B38" s="6"/>
      <c r="C38" s="108"/>
      <c r="D38" s="700" t="s">
        <v>180</v>
      </c>
      <c r="E38" s="35">
        <f>INDEX(I38:AC38,1,$E$2)/10*ProjectScaleScalar</f>
        <v>0.125</v>
      </c>
      <c r="F38" s="398"/>
      <c r="G38" s="398"/>
      <c r="H38" s="398"/>
      <c r="I38" s="326"/>
      <c r="J38" s="326">
        <v>5</v>
      </c>
      <c r="K38" s="326"/>
      <c r="L38" s="326">
        <v>4</v>
      </c>
      <c r="M38" s="326"/>
      <c r="N38" s="326"/>
      <c r="O38" s="326">
        <v>3</v>
      </c>
      <c r="P38" s="326">
        <v>7</v>
      </c>
      <c r="Q38" s="326"/>
      <c r="R38" s="326"/>
      <c r="S38" s="326"/>
      <c r="T38" s="326"/>
      <c r="U38" s="326"/>
      <c r="V38" s="326"/>
      <c r="W38" s="326">
        <v>1</v>
      </c>
      <c r="X38" s="326"/>
      <c r="Y38" s="326"/>
      <c r="Z38" s="326"/>
      <c r="AA38" s="326">
        <v>0</v>
      </c>
      <c r="AB38" s="326">
        <v>5</v>
      </c>
      <c r="AC38" s="326">
        <v>10</v>
      </c>
      <c r="AD38" s="398"/>
      <c r="AE38" s="398"/>
      <c r="AF38" s="398"/>
      <c r="AG38" s="398"/>
      <c r="AH38" s="398"/>
      <c r="AI38" s="398"/>
    </row>
    <row r="39" spans="1:35" s="75" customFormat="1" ht="15.75" thickTop="1">
      <c r="A39" s="398"/>
      <c r="B39" s="6"/>
      <c r="C39" s="398"/>
      <c r="D39" s="151" t="s">
        <v>377</v>
      </c>
      <c r="E39" s="398"/>
      <c r="F39" s="398"/>
      <c r="G39" s="398"/>
      <c r="H39" s="398"/>
      <c r="I39" s="274"/>
      <c r="J39" s="274"/>
      <c r="K39" s="274"/>
      <c r="L39" s="274"/>
      <c r="M39" s="274"/>
      <c r="N39" s="274"/>
      <c r="O39" s="274"/>
      <c r="P39" s="274"/>
      <c r="Q39" s="274"/>
      <c r="R39" s="274"/>
      <c r="S39" s="274"/>
      <c r="T39" s="274"/>
      <c r="U39" s="274"/>
      <c r="V39" s="274"/>
      <c r="W39" s="274"/>
      <c r="X39" s="274"/>
      <c r="Y39" s="274"/>
      <c r="Z39" s="274"/>
      <c r="AA39" s="274"/>
      <c r="AB39" s="274"/>
      <c r="AC39" s="274"/>
      <c r="AD39" s="398"/>
      <c r="AE39" s="398"/>
      <c r="AF39" s="398"/>
      <c r="AG39" s="398"/>
      <c r="AH39" s="398"/>
      <c r="AI39" s="398"/>
    </row>
    <row r="40" spans="1:35" s="75" customFormat="1" ht="15">
      <c r="A40" s="398"/>
      <c r="B40" s="6"/>
      <c r="C40" s="6" t="s">
        <v>261</v>
      </c>
      <c r="D40" s="271"/>
      <c r="E40" s="398"/>
      <c r="F40" s="398"/>
      <c r="G40" s="398"/>
      <c r="H40" s="398"/>
      <c r="I40" s="274"/>
      <c r="J40" s="274"/>
      <c r="K40" s="274"/>
      <c r="L40" s="274"/>
      <c r="M40" s="274"/>
      <c r="N40" s="274"/>
      <c r="O40" s="274"/>
      <c r="P40" s="274"/>
      <c r="Q40" s="274"/>
      <c r="R40" s="274"/>
      <c r="S40" s="274"/>
      <c r="T40" s="274"/>
      <c r="U40" s="274"/>
      <c r="V40" s="274"/>
      <c r="W40" s="274"/>
      <c r="X40" s="274"/>
      <c r="Y40" s="274"/>
      <c r="Z40" s="274"/>
      <c r="AA40" s="274"/>
      <c r="AB40" s="274"/>
      <c r="AC40" s="274"/>
      <c r="AD40" s="398"/>
      <c r="AE40" s="398"/>
      <c r="AF40" s="398"/>
      <c r="AG40" s="398"/>
      <c r="AH40" s="398"/>
      <c r="AI40" s="398"/>
    </row>
    <row r="41" spans="1:35" s="75" customFormat="1" ht="15">
      <c r="A41" s="398"/>
      <c r="B41" s="6"/>
      <c r="C41" s="6"/>
      <c r="D41" s="148" t="s">
        <v>362</v>
      </c>
      <c r="E41" s="398"/>
      <c r="F41" s="398"/>
      <c r="G41" s="398"/>
      <c r="H41" s="398"/>
      <c r="I41" s="274"/>
      <c r="J41" s="274"/>
      <c r="K41" s="274"/>
      <c r="L41" s="274"/>
      <c r="M41" s="274"/>
      <c r="N41" s="274"/>
      <c r="O41" s="274"/>
      <c r="P41" s="274"/>
      <c r="Q41" s="274"/>
      <c r="R41" s="274"/>
      <c r="S41" s="274"/>
      <c r="T41" s="274"/>
      <c r="U41" s="274"/>
      <c r="V41" s="274"/>
      <c r="W41" s="274"/>
      <c r="X41" s="274"/>
      <c r="Y41" s="274"/>
      <c r="Z41" s="274"/>
      <c r="AA41" s="274"/>
      <c r="AB41" s="274"/>
      <c r="AC41" s="274"/>
      <c r="AD41" s="398"/>
      <c r="AE41" s="398"/>
      <c r="AF41" s="398"/>
      <c r="AG41" s="398"/>
      <c r="AH41" s="398"/>
      <c r="AI41" s="398"/>
    </row>
    <row r="42" spans="1:35" s="75" customFormat="1" ht="15">
      <c r="A42" s="398"/>
      <c r="B42" s="6"/>
      <c r="C42" s="398"/>
      <c r="D42" s="700" t="s">
        <v>378</v>
      </c>
      <c r="E42" s="35">
        <f>INDEX(I42:AC42,1,$E$2)/10*ProjectScaleScalar</f>
        <v>0.1</v>
      </c>
      <c r="F42" s="398"/>
      <c r="G42" s="398"/>
      <c r="H42" s="398"/>
      <c r="I42" s="326">
        <v>3</v>
      </c>
      <c r="J42" s="326">
        <v>4</v>
      </c>
      <c r="K42" s="326">
        <v>3</v>
      </c>
      <c r="L42" s="326"/>
      <c r="M42" s="326">
        <v>2</v>
      </c>
      <c r="N42" s="326">
        <v>10</v>
      </c>
      <c r="O42" s="326">
        <v>10</v>
      </c>
      <c r="P42" s="326">
        <v>5</v>
      </c>
      <c r="Q42" s="326"/>
      <c r="R42" s="326">
        <v>2</v>
      </c>
      <c r="S42" s="326"/>
      <c r="T42" s="326">
        <v>4</v>
      </c>
      <c r="U42" s="326">
        <v>2</v>
      </c>
      <c r="V42" s="326">
        <v>3</v>
      </c>
      <c r="W42" s="326">
        <v>3</v>
      </c>
      <c r="X42" s="326">
        <v>4</v>
      </c>
      <c r="Y42" s="326">
        <v>2</v>
      </c>
      <c r="Z42" s="326">
        <v>3</v>
      </c>
      <c r="AA42" s="326">
        <v>0</v>
      </c>
      <c r="AB42" s="326">
        <v>5</v>
      </c>
      <c r="AC42" s="326">
        <v>10</v>
      </c>
      <c r="AD42" s="398"/>
      <c r="AE42" s="398"/>
      <c r="AF42" s="398"/>
      <c r="AG42" s="398"/>
      <c r="AH42" s="398"/>
      <c r="AI42" s="398"/>
    </row>
    <row r="43" spans="1:35" s="75" customFormat="1" ht="15">
      <c r="A43" s="398"/>
      <c r="B43" s="6"/>
      <c r="C43" s="398"/>
      <c r="D43" s="700" t="s">
        <v>380</v>
      </c>
      <c r="E43" s="35">
        <f>INDEX(I43:AC43,1,$E$2)/10*ProjectScaleScalar</f>
        <v>0.1</v>
      </c>
      <c r="F43" s="398"/>
      <c r="G43" s="398"/>
      <c r="H43" s="398"/>
      <c r="I43" s="326">
        <v>2</v>
      </c>
      <c r="J43" s="326">
        <v>4</v>
      </c>
      <c r="K43" s="326">
        <v>4</v>
      </c>
      <c r="L43" s="326">
        <v>3</v>
      </c>
      <c r="M43" s="326">
        <v>1</v>
      </c>
      <c r="N43" s="326">
        <v>4</v>
      </c>
      <c r="O43" s="326">
        <v>6</v>
      </c>
      <c r="P43" s="326">
        <v>7</v>
      </c>
      <c r="Q43" s="326"/>
      <c r="R43" s="326">
        <v>2</v>
      </c>
      <c r="S43" s="326"/>
      <c r="T43" s="326">
        <v>2</v>
      </c>
      <c r="U43" s="326">
        <v>3</v>
      </c>
      <c r="V43" s="326">
        <v>4</v>
      </c>
      <c r="W43" s="326">
        <v>4</v>
      </c>
      <c r="X43" s="326">
        <v>2</v>
      </c>
      <c r="Y43" s="326">
        <v>4</v>
      </c>
      <c r="Z43" s="326">
        <v>4</v>
      </c>
      <c r="AA43" s="326">
        <v>0</v>
      </c>
      <c r="AB43" s="326">
        <v>5</v>
      </c>
      <c r="AC43" s="326">
        <v>10</v>
      </c>
      <c r="AD43" s="398"/>
      <c r="AE43" s="398"/>
      <c r="AF43" s="398"/>
      <c r="AG43" s="398"/>
      <c r="AH43" s="398"/>
      <c r="AI43" s="398"/>
    </row>
    <row r="44" spans="1:35" s="75" customFormat="1" ht="25.5">
      <c r="A44" s="398"/>
      <c r="B44" s="6"/>
      <c r="C44" s="398"/>
      <c r="D44" s="700" t="s">
        <v>382</v>
      </c>
      <c r="E44" s="35">
        <f>INDEX(I44:AC44,1,$E$2)/10*ProjectScaleScalar</f>
        <v>2.5000000000000001E-2</v>
      </c>
      <c r="F44" s="398"/>
      <c r="G44" s="398"/>
      <c r="H44" s="398"/>
      <c r="I44" s="326">
        <v>4</v>
      </c>
      <c r="J44" s="326">
        <v>1</v>
      </c>
      <c r="K44" s="326">
        <v>3</v>
      </c>
      <c r="L44" s="326"/>
      <c r="M44" s="326"/>
      <c r="N44" s="326">
        <v>6</v>
      </c>
      <c r="O44" s="326">
        <v>4</v>
      </c>
      <c r="P44" s="326">
        <v>5</v>
      </c>
      <c r="Q44" s="326"/>
      <c r="R44" s="326">
        <v>2</v>
      </c>
      <c r="S44" s="326"/>
      <c r="T44" s="326">
        <v>2</v>
      </c>
      <c r="U44" s="326"/>
      <c r="V44" s="326">
        <v>3</v>
      </c>
      <c r="W44" s="326">
        <v>2</v>
      </c>
      <c r="X44" s="326">
        <v>10</v>
      </c>
      <c r="Y44" s="326">
        <v>2</v>
      </c>
      <c r="Z44" s="326">
        <v>3</v>
      </c>
      <c r="AA44" s="326">
        <v>0</v>
      </c>
      <c r="AB44" s="326">
        <v>5</v>
      </c>
      <c r="AC44" s="326">
        <v>10</v>
      </c>
      <c r="AD44" s="398"/>
      <c r="AE44" s="398"/>
      <c r="AF44" s="398"/>
      <c r="AG44" s="398"/>
      <c r="AH44" s="398"/>
      <c r="AI44" s="398"/>
    </row>
    <row r="45" spans="1:35" s="75" customFormat="1" ht="15.75" thickBot="1">
      <c r="A45" s="398"/>
      <c r="B45" s="6"/>
      <c r="C45" s="108"/>
      <c r="D45" s="700" t="s">
        <v>384</v>
      </c>
      <c r="E45" s="35">
        <f>INDEX(I45:AC45,1,$E$2)/10*ProjectScaleScalar</f>
        <v>0.17499999999999999</v>
      </c>
      <c r="F45" s="398"/>
      <c r="G45" s="398"/>
      <c r="H45" s="398"/>
      <c r="I45" s="326">
        <v>3</v>
      </c>
      <c r="J45" s="326">
        <v>7</v>
      </c>
      <c r="K45" s="326">
        <v>5</v>
      </c>
      <c r="L45" s="326"/>
      <c r="M45" s="326">
        <v>4</v>
      </c>
      <c r="N45" s="326">
        <v>6</v>
      </c>
      <c r="O45" s="326">
        <v>10</v>
      </c>
      <c r="P45" s="326">
        <v>5</v>
      </c>
      <c r="Q45" s="326">
        <v>2</v>
      </c>
      <c r="R45" s="326">
        <v>1</v>
      </c>
      <c r="S45" s="326"/>
      <c r="T45" s="326"/>
      <c r="U45" s="326">
        <v>1</v>
      </c>
      <c r="V45" s="326">
        <v>4</v>
      </c>
      <c r="W45" s="326">
        <v>5</v>
      </c>
      <c r="X45" s="326">
        <v>2</v>
      </c>
      <c r="Y45" s="326">
        <v>2</v>
      </c>
      <c r="Z45" s="326">
        <v>3</v>
      </c>
      <c r="AA45" s="326">
        <v>0</v>
      </c>
      <c r="AB45" s="326">
        <v>5</v>
      </c>
      <c r="AC45" s="326">
        <v>10</v>
      </c>
      <c r="AD45" s="398"/>
      <c r="AE45" s="398"/>
      <c r="AF45" s="398"/>
      <c r="AG45" s="398"/>
      <c r="AH45" s="398"/>
      <c r="AI45" s="398"/>
    </row>
    <row r="46" spans="1:35" s="75" customFormat="1" ht="15.75" thickTop="1">
      <c r="A46" s="398"/>
      <c r="B46" s="6"/>
      <c r="C46" s="398"/>
      <c r="D46" s="151" t="s">
        <v>386</v>
      </c>
      <c r="E46" s="398"/>
      <c r="F46" s="398"/>
      <c r="G46" s="398"/>
      <c r="H46" s="398"/>
      <c r="I46" s="274"/>
      <c r="J46" s="274"/>
      <c r="K46" s="274"/>
      <c r="L46" s="274"/>
      <c r="M46" s="274"/>
      <c r="N46" s="274"/>
      <c r="O46" s="274"/>
      <c r="P46" s="274"/>
      <c r="Q46" s="274"/>
      <c r="R46" s="274"/>
      <c r="S46" s="274"/>
      <c r="T46" s="274"/>
      <c r="U46" s="274"/>
      <c r="V46" s="274"/>
      <c r="W46" s="274"/>
      <c r="X46" s="274"/>
      <c r="Y46" s="274"/>
      <c r="Z46" s="274"/>
      <c r="AA46" s="274"/>
      <c r="AB46" s="274"/>
      <c r="AC46" s="274"/>
      <c r="AD46" s="398"/>
      <c r="AE46" s="398"/>
      <c r="AF46" s="398"/>
      <c r="AG46" s="398"/>
      <c r="AH46" s="398"/>
      <c r="AI46" s="398"/>
    </row>
    <row r="47" spans="1:35" s="75" customFormat="1" ht="15">
      <c r="A47" s="398"/>
      <c r="B47" s="6"/>
      <c r="C47" s="6" t="s">
        <v>387</v>
      </c>
      <c r="D47" s="153"/>
      <c r="E47" s="398"/>
      <c r="F47" s="398"/>
      <c r="G47" s="398"/>
      <c r="H47" s="398"/>
      <c r="I47" s="274"/>
      <c r="J47" s="274"/>
      <c r="K47" s="274"/>
      <c r="L47" s="274"/>
      <c r="M47" s="274"/>
      <c r="N47" s="274"/>
      <c r="O47" s="274"/>
      <c r="P47" s="274"/>
      <c r="Q47" s="274"/>
      <c r="R47" s="274"/>
      <c r="S47" s="274"/>
      <c r="T47" s="274"/>
      <c r="U47" s="274"/>
      <c r="V47" s="274"/>
      <c r="W47" s="274"/>
      <c r="X47" s="274"/>
      <c r="Y47" s="274"/>
      <c r="Z47" s="274"/>
      <c r="AA47" s="274"/>
      <c r="AB47" s="274"/>
      <c r="AC47" s="274"/>
      <c r="AD47" s="398"/>
      <c r="AE47" s="398"/>
      <c r="AF47" s="398"/>
      <c r="AG47" s="398"/>
      <c r="AH47" s="398"/>
      <c r="AI47" s="398"/>
    </row>
    <row r="48" spans="1:35" s="75" customFormat="1" ht="15">
      <c r="A48" s="398"/>
      <c r="B48" s="6"/>
      <c r="C48" s="398"/>
      <c r="D48" s="700" t="s">
        <v>388</v>
      </c>
      <c r="E48" s="35">
        <f>INDEX(I48:AC48,1,$E$2)/10*ProjectScaleScalar</f>
        <v>2.5000000000000001E-2</v>
      </c>
      <c r="F48" s="398"/>
      <c r="G48" s="398"/>
      <c r="H48" s="398"/>
      <c r="I48" s="326">
        <v>2</v>
      </c>
      <c r="J48" s="326">
        <v>1</v>
      </c>
      <c r="K48" s="326">
        <v>2</v>
      </c>
      <c r="L48" s="326"/>
      <c r="M48" s="326">
        <v>4</v>
      </c>
      <c r="N48" s="326">
        <v>2</v>
      </c>
      <c r="O48" s="326">
        <v>3</v>
      </c>
      <c r="P48" s="326">
        <v>7</v>
      </c>
      <c r="Q48" s="326"/>
      <c r="R48" s="326"/>
      <c r="S48" s="326">
        <v>1</v>
      </c>
      <c r="T48" s="326">
        <v>1</v>
      </c>
      <c r="U48" s="326">
        <v>1</v>
      </c>
      <c r="V48" s="326">
        <v>2</v>
      </c>
      <c r="W48" s="326">
        <v>2</v>
      </c>
      <c r="X48" s="326">
        <v>2</v>
      </c>
      <c r="Y48" s="326">
        <v>1</v>
      </c>
      <c r="Z48" s="326">
        <v>3</v>
      </c>
      <c r="AA48" s="326">
        <v>0</v>
      </c>
      <c r="AB48" s="326">
        <v>5</v>
      </c>
      <c r="AC48" s="326">
        <v>10</v>
      </c>
      <c r="AD48" s="398"/>
      <c r="AE48" s="398"/>
      <c r="AF48" s="398"/>
      <c r="AG48" s="398"/>
      <c r="AH48" s="398"/>
      <c r="AI48" s="398"/>
    </row>
    <row r="49" spans="1:35" s="75" customFormat="1" ht="15">
      <c r="A49" s="398"/>
      <c r="B49" s="6"/>
      <c r="C49" s="398"/>
      <c r="D49" s="700" t="s">
        <v>390</v>
      </c>
      <c r="E49" s="35">
        <f>INDEX(I49:AC49,1,$E$2)/10*ProjectScaleScalar</f>
        <v>2.5000000000000001E-2</v>
      </c>
      <c r="F49" s="398"/>
      <c r="G49" s="398"/>
      <c r="H49" s="398"/>
      <c r="I49" s="326">
        <v>2</v>
      </c>
      <c r="J49" s="326">
        <v>1</v>
      </c>
      <c r="K49" s="326">
        <v>2</v>
      </c>
      <c r="L49" s="326"/>
      <c r="M49" s="326">
        <v>3</v>
      </c>
      <c r="N49" s="326">
        <v>10</v>
      </c>
      <c r="O49" s="326">
        <v>5</v>
      </c>
      <c r="P49" s="326">
        <v>5</v>
      </c>
      <c r="Q49" s="326"/>
      <c r="R49" s="326">
        <v>3</v>
      </c>
      <c r="S49" s="326">
        <v>3</v>
      </c>
      <c r="T49" s="326">
        <v>3</v>
      </c>
      <c r="U49" s="326">
        <v>2</v>
      </c>
      <c r="V49" s="326">
        <v>3</v>
      </c>
      <c r="W49" s="326">
        <v>3</v>
      </c>
      <c r="X49" s="326">
        <v>3</v>
      </c>
      <c r="Y49" s="326">
        <v>2</v>
      </c>
      <c r="Z49" s="326">
        <v>3</v>
      </c>
      <c r="AA49" s="326">
        <v>0</v>
      </c>
      <c r="AB49" s="326">
        <v>5</v>
      </c>
      <c r="AC49" s="326">
        <v>10</v>
      </c>
      <c r="AD49" s="398"/>
      <c r="AE49" s="398"/>
      <c r="AF49" s="398"/>
      <c r="AG49" s="398"/>
      <c r="AH49" s="398"/>
      <c r="AI49" s="398"/>
    </row>
    <row r="50" spans="1:35" s="75" customFormat="1" ht="15">
      <c r="A50" s="398"/>
      <c r="B50" s="6"/>
      <c r="C50" s="398"/>
      <c r="D50" s="700" t="s">
        <v>392</v>
      </c>
      <c r="E50" s="35">
        <f>INDEX(I50:AC50,1,$E$2)/10*ProjectScaleScalar</f>
        <v>0.25</v>
      </c>
      <c r="F50" s="398"/>
      <c r="G50" s="398"/>
      <c r="H50" s="398"/>
      <c r="I50" s="326">
        <v>2</v>
      </c>
      <c r="J50" s="326">
        <v>10</v>
      </c>
      <c r="K50" s="326">
        <v>5</v>
      </c>
      <c r="L50" s="326">
        <v>5</v>
      </c>
      <c r="M50" s="326">
        <v>4</v>
      </c>
      <c r="N50" s="326">
        <v>2</v>
      </c>
      <c r="O50" s="326">
        <v>6</v>
      </c>
      <c r="P50" s="326">
        <v>6</v>
      </c>
      <c r="Q50" s="326">
        <v>3</v>
      </c>
      <c r="R50" s="326"/>
      <c r="S50" s="326">
        <v>1</v>
      </c>
      <c r="T50" s="326">
        <v>1</v>
      </c>
      <c r="U50" s="326">
        <v>2</v>
      </c>
      <c r="V50" s="326">
        <v>2</v>
      </c>
      <c r="W50" s="326">
        <v>2</v>
      </c>
      <c r="X50" s="326">
        <v>2</v>
      </c>
      <c r="Y50" s="326">
        <v>1</v>
      </c>
      <c r="Z50" s="326">
        <v>3</v>
      </c>
      <c r="AA50" s="326">
        <v>0</v>
      </c>
      <c r="AB50" s="326">
        <v>5</v>
      </c>
      <c r="AC50" s="326">
        <v>10</v>
      </c>
      <c r="AD50" s="398"/>
      <c r="AE50" s="398"/>
      <c r="AF50" s="398"/>
      <c r="AG50" s="398"/>
      <c r="AH50" s="398"/>
      <c r="AI50" s="398"/>
    </row>
    <row r="51" spans="1:35" s="75" customFormat="1" ht="26.25" thickBot="1">
      <c r="A51" s="398"/>
      <c r="B51" s="6"/>
      <c r="C51" s="398"/>
      <c r="D51" s="700" t="s">
        <v>394</v>
      </c>
      <c r="E51" s="35">
        <f>INDEX(I51:AC51,1,$E$2)/10*ProjectScaleScalar</f>
        <v>0.05</v>
      </c>
      <c r="F51" s="398"/>
      <c r="G51" s="398"/>
      <c r="H51" s="398"/>
      <c r="I51" s="326"/>
      <c r="J51" s="326">
        <v>2</v>
      </c>
      <c r="K51" s="326">
        <v>2</v>
      </c>
      <c r="L51" s="326">
        <v>1</v>
      </c>
      <c r="M51" s="326">
        <v>4</v>
      </c>
      <c r="N51" s="326">
        <v>4</v>
      </c>
      <c r="O51" s="326">
        <v>4</v>
      </c>
      <c r="P51" s="326">
        <v>4</v>
      </c>
      <c r="Q51" s="326"/>
      <c r="R51" s="326">
        <v>2</v>
      </c>
      <c r="S51" s="326">
        <v>3</v>
      </c>
      <c r="T51" s="326">
        <v>3</v>
      </c>
      <c r="U51" s="326">
        <v>4</v>
      </c>
      <c r="V51" s="326">
        <v>10</v>
      </c>
      <c r="W51" s="326">
        <v>4</v>
      </c>
      <c r="X51" s="326">
        <v>3</v>
      </c>
      <c r="Y51" s="326">
        <v>4</v>
      </c>
      <c r="Z51" s="326">
        <v>5</v>
      </c>
      <c r="AA51" s="326">
        <v>0</v>
      </c>
      <c r="AB51" s="326">
        <v>5</v>
      </c>
      <c r="AC51" s="326">
        <v>10</v>
      </c>
      <c r="AD51" s="398"/>
      <c r="AE51" s="398"/>
      <c r="AF51" s="398"/>
      <c r="AG51" s="398"/>
      <c r="AH51" s="398"/>
      <c r="AI51" s="398"/>
    </row>
    <row r="52" spans="1:35" s="75" customFormat="1" ht="15.75" thickTop="1">
      <c r="A52" s="398"/>
      <c r="B52" s="6"/>
      <c r="C52" s="398"/>
      <c r="D52" s="151" t="s">
        <v>396</v>
      </c>
      <c r="E52" s="398"/>
      <c r="F52" s="398"/>
      <c r="G52" s="398"/>
      <c r="H52" s="398"/>
      <c r="I52" s="274"/>
      <c r="J52" s="274"/>
      <c r="K52" s="274"/>
      <c r="L52" s="274"/>
      <c r="M52" s="274"/>
      <c r="N52" s="274"/>
      <c r="O52" s="274"/>
      <c r="P52" s="274"/>
      <c r="Q52" s="274"/>
      <c r="R52" s="274"/>
      <c r="S52" s="274"/>
      <c r="T52" s="274"/>
      <c r="U52" s="274"/>
      <c r="V52" s="274"/>
      <c r="W52" s="274"/>
      <c r="X52" s="274"/>
      <c r="Y52" s="274"/>
      <c r="Z52" s="274"/>
      <c r="AA52" s="274"/>
      <c r="AB52" s="274"/>
      <c r="AC52" s="274"/>
      <c r="AD52" s="398"/>
      <c r="AE52" s="398"/>
      <c r="AF52" s="398"/>
      <c r="AG52" s="398"/>
      <c r="AH52" s="398"/>
      <c r="AI52" s="398"/>
    </row>
    <row r="53" spans="1:35" s="75" customFormat="1" ht="15">
      <c r="A53" s="398"/>
      <c r="B53" s="6"/>
      <c r="C53" s="398"/>
      <c r="D53" s="398"/>
      <c r="E53" s="398"/>
      <c r="F53" s="398"/>
      <c r="G53" s="398"/>
      <c r="H53" s="398"/>
      <c r="I53" s="274"/>
      <c r="J53" s="274"/>
      <c r="K53" s="274"/>
      <c r="L53" s="274"/>
      <c r="M53" s="274"/>
      <c r="N53" s="274"/>
      <c r="O53" s="274"/>
      <c r="P53" s="274"/>
      <c r="Q53" s="274"/>
      <c r="R53" s="274"/>
      <c r="S53" s="274"/>
      <c r="T53" s="274"/>
      <c r="U53" s="274"/>
      <c r="V53" s="274"/>
      <c r="W53" s="274"/>
      <c r="X53" s="274"/>
      <c r="Y53" s="274"/>
      <c r="Z53" s="274"/>
      <c r="AA53" s="274"/>
      <c r="AB53" s="274"/>
      <c r="AC53" s="274"/>
      <c r="AD53" s="398"/>
      <c r="AE53" s="398"/>
      <c r="AF53" s="398"/>
      <c r="AG53" s="398"/>
      <c r="AH53" s="398"/>
      <c r="AI53" s="398"/>
    </row>
    <row r="54" spans="1:35" s="75" customFormat="1" ht="15">
      <c r="A54" s="398"/>
      <c r="B54" s="6"/>
      <c r="C54" s="6" t="s">
        <v>397</v>
      </c>
      <c r="D54" s="271"/>
      <c r="E54" s="398"/>
      <c r="F54" s="398"/>
      <c r="G54" s="398"/>
      <c r="H54" s="398"/>
      <c r="I54" s="274"/>
      <c r="J54" s="274"/>
      <c r="K54" s="274"/>
      <c r="L54" s="274"/>
      <c r="M54" s="274"/>
      <c r="N54" s="274"/>
      <c r="O54" s="274"/>
      <c r="P54" s="274"/>
      <c r="Q54" s="274"/>
      <c r="R54" s="274"/>
      <c r="S54" s="274"/>
      <c r="T54" s="274"/>
      <c r="U54" s="274"/>
      <c r="V54" s="274"/>
      <c r="W54" s="274"/>
      <c r="X54" s="274"/>
      <c r="Y54" s="274"/>
      <c r="Z54" s="274"/>
      <c r="AA54" s="274"/>
      <c r="AB54" s="274"/>
      <c r="AC54" s="274"/>
      <c r="AD54" s="398"/>
      <c r="AE54" s="398"/>
      <c r="AF54" s="398"/>
      <c r="AG54" s="398"/>
      <c r="AH54" s="398"/>
      <c r="AI54" s="398"/>
    </row>
    <row r="55" spans="1:35" s="75" customFormat="1" ht="15">
      <c r="A55" s="398"/>
      <c r="B55" s="6"/>
      <c r="C55" s="398"/>
      <c r="D55" s="700" t="s">
        <v>398</v>
      </c>
      <c r="E55" s="35">
        <f>INDEX(I55:AC55,1,$E$2)/10*ProjectScaleScalar</f>
        <v>0.05</v>
      </c>
      <c r="F55" s="398"/>
      <c r="G55" s="398"/>
      <c r="H55" s="398"/>
      <c r="I55" s="326">
        <v>2</v>
      </c>
      <c r="J55" s="326">
        <v>2</v>
      </c>
      <c r="K55" s="326">
        <v>10</v>
      </c>
      <c r="L55" s="326">
        <v>1</v>
      </c>
      <c r="M55" s="326"/>
      <c r="N55" s="326">
        <v>1</v>
      </c>
      <c r="O55" s="326">
        <v>3</v>
      </c>
      <c r="P55" s="326">
        <v>4</v>
      </c>
      <c r="Q55" s="326">
        <v>3</v>
      </c>
      <c r="R55" s="326"/>
      <c r="S55" s="326">
        <v>2</v>
      </c>
      <c r="T55" s="326"/>
      <c r="U55" s="326"/>
      <c r="V55" s="326"/>
      <c r="W55" s="326">
        <v>2</v>
      </c>
      <c r="X55" s="326"/>
      <c r="Y55" s="326"/>
      <c r="Z55" s="326"/>
      <c r="AA55" s="326">
        <v>0</v>
      </c>
      <c r="AB55" s="326">
        <v>5</v>
      </c>
      <c r="AC55" s="326">
        <v>10</v>
      </c>
      <c r="AD55" s="398"/>
      <c r="AE55" s="398"/>
      <c r="AF55" s="398"/>
      <c r="AG55" s="398"/>
      <c r="AH55" s="398"/>
      <c r="AI55" s="398"/>
    </row>
    <row r="56" spans="1:35" s="75" customFormat="1" ht="15">
      <c r="A56" s="398"/>
      <c r="B56" s="6"/>
      <c r="C56" s="398"/>
      <c r="D56" s="700" t="s">
        <v>251</v>
      </c>
      <c r="E56" s="35">
        <f>INDEX(I56:AC56,1,$E$2)/10*ProjectScaleScalar</f>
        <v>0</v>
      </c>
      <c r="F56" s="398"/>
      <c r="G56" s="398"/>
      <c r="H56" s="398"/>
      <c r="I56" s="326"/>
      <c r="J56" s="326"/>
      <c r="K56" s="326">
        <v>4</v>
      </c>
      <c r="L56" s="326"/>
      <c r="M56" s="326"/>
      <c r="N56" s="326"/>
      <c r="O56" s="326">
        <v>4</v>
      </c>
      <c r="P56" s="326">
        <v>5</v>
      </c>
      <c r="Q56" s="326">
        <v>10</v>
      </c>
      <c r="R56" s="326"/>
      <c r="S56" s="326">
        <v>2</v>
      </c>
      <c r="T56" s="326"/>
      <c r="U56" s="326"/>
      <c r="V56" s="326"/>
      <c r="W56" s="326"/>
      <c r="X56" s="326"/>
      <c r="Y56" s="326"/>
      <c r="Z56" s="326"/>
      <c r="AA56" s="326">
        <v>0</v>
      </c>
      <c r="AB56" s="326">
        <v>5</v>
      </c>
      <c r="AC56" s="326">
        <v>10</v>
      </c>
      <c r="AD56" s="398"/>
      <c r="AE56" s="398"/>
      <c r="AF56" s="398"/>
      <c r="AG56" s="398"/>
      <c r="AH56" s="398"/>
      <c r="AI56" s="398"/>
    </row>
    <row r="57" spans="1:35" s="75" customFormat="1" ht="13.5">
      <c r="A57" s="398"/>
      <c r="B57" s="398"/>
      <c r="C57" s="398"/>
      <c r="D57" s="700" t="s">
        <v>401</v>
      </c>
      <c r="E57" s="35">
        <f>INDEX(I57:AC57,1,$E$2)/10*ProjectScaleScalar</f>
        <v>7.4999999999999997E-2</v>
      </c>
      <c r="F57" s="398"/>
      <c r="G57" s="398"/>
      <c r="H57" s="398"/>
      <c r="I57" s="326">
        <v>3</v>
      </c>
      <c r="J57" s="326">
        <v>3</v>
      </c>
      <c r="K57" s="326">
        <v>5</v>
      </c>
      <c r="L57" s="326">
        <v>3</v>
      </c>
      <c r="M57" s="326"/>
      <c r="N57" s="326"/>
      <c r="O57" s="326">
        <v>5</v>
      </c>
      <c r="P57" s="326">
        <v>5</v>
      </c>
      <c r="Q57" s="326">
        <v>10</v>
      </c>
      <c r="R57" s="326">
        <v>2</v>
      </c>
      <c r="S57" s="326"/>
      <c r="T57" s="326"/>
      <c r="U57" s="326"/>
      <c r="V57" s="326"/>
      <c r="W57" s="326">
        <v>2</v>
      </c>
      <c r="X57" s="326"/>
      <c r="Y57" s="326"/>
      <c r="Z57" s="326"/>
      <c r="AA57" s="326">
        <v>0</v>
      </c>
      <c r="AB57" s="326">
        <v>5</v>
      </c>
      <c r="AC57" s="326">
        <v>10</v>
      </c>
      <c r="AD57" s="398"/>
      <c r="AE57" s="398"/>
      <c r="AF57" s="398"/>
      <c r="AG57" s="398"/>
      <c r="AH57" s="398"/>
      <c r="AI57" s="398"/>
    </row>
    <row r="58" spans="1:35" s="75" customFormat="1" ht="14.25" thickBot="1">
      <c r="A58" s="398"/>
      <c r="B58" s="398"/>
      <c r="C58" s="398"/>
      <c r="D58" s="700" t="s">
        <v>403</v>
      </c>
      <c r="E58" s="35">
        <f>INDEX(I58:AC58,1,$E$2)/10*ProjectScaleScalar</f>
        <v>0</v>
      </c>
      <c r="F58" s="398"/>
      <c r="G58" s="398"/>
      <c r="H58" s="398"/>
      <c r="I58" s="326"/>
      <c r="J58" s="326"/>
      <c r="K58" s="326">
        <v>2</v>
      </c>
      <c r="L58" s="326"/>
      <c r="M58" s="326"/>
      <c r="N58" s="326"/>
      <c r="O58" s="326">
        <v>6</v>
      </c>
      <c r="P58" s="326">
        <v>4</v>
      </c>
      <c r="Q58" s="326">
        <v>10</v>
      </c>
      <c r="R58" s="326">
        <v>2</v>
      </c>
      <c r="S58" s="326">
        <v>3</v>
      </c>
      <c r="T58" s="326"/>
      <c r="U58" s="326"/>
      <c r="V58" s="326"/>
      <c r="W58" s="326">
        <v>1</v>
      </c>
      <c r="X58" s="326"/>
      <c r="Y58" s="326"/>
      <c r="Z58" s="326"/>
      <c r="AA58" s="326">
        <v>0</v>
      </c>
      <c r="AB58" s="326">
        <v>5</v>
      </c>
      <c r="AC58" s="326">
        <v>10</v>
      </c>
      <c r="AD58" s="398"/>
      <c r="AE58" s="398"/>
      <c r="AF58" s="398"/>
      <c r="AG58" s="398"/>
      <c r="AH58" s="398"/>
      <c r="AI58" s="398"/>
    </row>
    <row r="59" spans="1:35" s="75" customFormat="1" ht="13.5" thickTop="1">
      <c r="A59" s="398"/>
      <c r="B59" s="398"/>
      <c r="C59" s="108"/>
      <c r="D59" s="151" t="s">
        <v>404</v>
      </c>
      <c r="E59" s="398"/>
      <c r="F59" s="398"/>
      <c r="G59" s="398"/>
      <c r="H59" s="398"/>
      <c r="I59" s="274"/>
      <c r="J59" s="274"/>
      <c r="K59" s="274"/>
      <c r="L59" s="274"/>
      <c r="M59" s="274"/>
      <c r="N59" s="274"/>
      <c r="O59" s="274"/>
      <c r="P59" s="274"/>
      <c r="Q59" s="274"/>
      <c r="R59" s="274"/>
      <c r="S59" s="274"/>
      <c r="T59" s="274"/>
      <c r="U59" s="274"/>
      <c r="V59" s="274"/>
      <c r="W59" s="274"/>
      <c r="X59" s="274"/>
      <c r="Y59" s="274"/>
      <c r="Z59" s="274"/>
      <c r="AA59" s="274"/>
      <c r="AB59" s="274"/>
      <c r="AC59" s="274"/>
      <c r="AD59" s="398"/>
      <c r="AE59" s="398"/>
      <c r="AF59" s="398"/>
      <c r="AG59" s="398"/>
      <c r="AH59" s="398"/>
      <c r="AI59" s="398"/>
    </row>
    <row r="60" spans="1:35" ht="15">
      <c r="A60" s="398"/>
      <c r="B60" s="398"/>
      <c r="C60" s="6" t="s">
        <v>1203</v>
      </c>
      <c r="D60" s="398"/>
      <c r="E60" s="398"/>
      <c r="F60" s="398"/>
      <c r="G60" s="398"/>
      <c r="H60" s="398"/>
      <c r="I60" s="274"/>
      <c r="J60" s="274"/>
      <c r="K60" s="274"/>
      <c r="L60" s="274"/>
      <c r="M60" s="274"/>
      <c r="N60" s="274"/>
      <c r="O60" s="274"/>
      <c r="P60" s="274"/>
      <c r="Q60" s="274"/>
      <c r="R60" s="274"/>
      <c r="S60" s="274"/>
      <c r="T60" s="274"/>
      <c r="U60" s="274"/>
      <c r="V60" s="274"/>
      <c r="W60" s="274"/>
      <c r="X60" s="274"/>
      <c r="Y60" s="274"/>
      <c r="Z60" s="274"/>
      <c r="AA60" s="274"/>
      <c r="AB60" s="274"/>
      <c r="AC60" s="274"/>
      <c r="AD60" s="398"/>
      <c r="AE60" s="398"/>
      <c r="AF60" s="398"/>
      <c r="AG60" s="398"/>
      <c r="AH60" s="398"/>
      <c r="AI60" s="398"/>
    </row>
    <row r="61" spans="1:35" s="21" customFormat="1" ht="13.5">
      <c r="A61" s="398"/>
      <c r="B61" s="398"/>
      <c r="C61" s="398"/>
      <c r="D61" s="696" t="s">
        <v>390</v>
      </c>
      <c r="E61" s="96">
        <f t="shared" ref="E61:E68" si="1">INDEX(I61:AC61,1,$E$2)/10*ProjectScaleScalar</f>
        <v>7.4999999999999997E-2</v>
      </c>
      <c r="F61" s="398"/>
      <c r="G61" s="398"/>
      <c r="H61" s="398"/>
      <c r="I61" s="326">
        <v>3</v>
      </c>
      <c r="J61" s="326">
        <v>3</v>
      </c>
      <c r="K61" s="326">
        <v>2</v>
      </c>
      <c r="L61" s="326">
        <v>2</v>
      </c>
      <c r="M61" s="326">
        <v>2</v>
      </c>
      <c r="N61" s="326">
        <v>10</v>
      </c>
      <c r="O61" s="326">
        <v>3</v>
      </c>
      <c r="P61" s="326">
        <v>5</v>
      </c>
      <c r="Q61" s="326"/>
      <c r="R61" s="326">
        <v>2</v>
      </c>
      <c r="S61" s="326">
        <v>2</v>
      </c>
      <c r="T61" s="326">
        <v>2</v>
      </c>
      <c r="U61" s="326">
        <v>4</v>
      </c>
      <c r="V61" s="326">
        <v>4</v>
      </c>
      <c r="W61" s="326">
        <v>3</v>
      </c>
      <c r="X61" s="326">
        <v>4</v>
      </c>
      <c r="Y61" s="326">
        <v>3</v>
      </c>
      <c r="Z61" s="326">
        <v>4</v>
      </c>
      <c r="AA61" s="326">
        <v>0</v>
      </c>
      <c r="AB61" s="326">
        <v>5</v>
      </c>
      <c r="AC61" s="326">
        <v>10</v>
      </c>
      <c r="AD61" s="398"/>
      <c r="AE61" s="398"/>
      <c r="AF61" s="398"/>
      <c r="AG61" s="398"/>
      <c r="AH61" s="398"/>
      <c r="AI61" s="398"/>
    </row>
    <row r="62" spans="1:35" s="75" customFormat="1" ht="13.5">
      <c r="A62" s="398"/>
      <c r="B62" s="398"/>
      <c r="C62" s="398"/>
      <c r="D62" s="696" t="s">
        <v>1204</v>
      </c>
      <c r="E62" s="96">
        <f t="shared" si="1"/>
        <v>7.4999999999999997E-2</v>
      </c>
      <c r="F62" s="398"/>
      <c r="G62" s="398"/>
      <c r="H62" s="398"/>
      <c r="I62" s="326">
        <v>3</v>
      </c>
      <c r="J62" s="326">
        <v>3</v>
      </c>
      <c r="K62" s="326">
        <v>2</v>
      </c>
      <c r="L62" s="326">
        <v>3</v>
      </c>
      <c r="M62" s="326">
        <v>4</v>
      </c>
      <c r="N62" s="326">
        <v>10</v>
      </c>
      <c r="O62" s="326">
        <v>5</v>
      </c>
      <c r="P62" s="326">
        <v>5</v>
      </c>
      <c r="Q62" s="326"/>
      <c r="R62" s="326">
        <v>2</v>
      </c>
      <c r="S62" s="326">
        <v>2</v>
      </c>
      <c r="T62" s="326">
        <v>3</v>
      </c>
      <c r="U62" s="326">
        <v>2</v>
      </c>
      <c r="V62" s="326">
        <v>4</v>
      </c>
      <c r="W62" s="326">
        <v>3</v>
      </c>
      <c r="X62" s="326">
        <v>4</v>
      </c>
      <c r="Y62" s="326">
        <v>3</v>
      </c>
      <c r="Z62" s="326">
        <v>4</v>
      </c>
      <c r="AA62" s="326">
        <v>0</v>
      </c>
      <c r="AB62" s="326">
        <v>5</v>
      </c>
      <c r="AC62" s="326">
        <v>10</v>
      </c>
      <c r="AD62" s="398"/>
      <c r="AE62" s="398"/>
      <c r="AF62" s="398"/>
      <c r="AG62" s="398"/>
      <c r="AH62" s="398"/>
      <c r="AI62" s="398"/>
    </row>
    <row r="63" spans="1:35" s="21" customFormat="1" ht="12.75" customHeight="1">
      <c r="A63" s="398"/>
      <c r="B63" s="398"/>
      <c r="C63" s="398"/>
      <c r="D63" s="36" t="s">
        <v>1205</v>
      </c>
      <c r="E63" s="96">
        <f t="shared" si="1"/>
        <v>0.25</v>
      </c>
      <c r="F63" s="398"/>
      <c r="G63" s="398"/>
      <c r="H63" s="398"/>
      <c r="I63" s="326">
        <v>5</v>
      </c>
      <c r="J63" s="326">
        <v>10</v>
      </c>
      <c r="K63" s="326">
        <v>8</v>
      </c>
      <c r="L63" s="326">
        <v>4</v>
      </c>
      <c r="M63" s="326">
        <v>3</v>
      </c>
      <c r="N63" s="326">
        <v>5</v>
      </c>
      <c r="O63" s="326">
        <v>4</v>
      </c>
      <c r="P63" s="326">
        <v>2</v>
      </c>
      <c r="Q63" s="326">
        <v>1</v>
      </c>
      <c r="R63" s="326"/>
      <c r="S63" s="326">
        <v>1</v>
      </c>
      <c r="T63" s="326">
        <v>1</v>
      </c>
      <c r="U63" s="326">
        <v>1</v>
      </c>
      <c r="V63" s="326">
        <v>2</v>
      </c>
      <c r="W63" s="326">
        <v>2</v>
      </c>
      <c r="X63" s="326"/>
      <c r="Y63" s="326"/>
      <c r="Z63" s="326"/>
      <c r="AA63" s="326">
        <v>0</v>
      </c>
      <c r="AB63" s="326">
        <v>5</v>
      </c>
      <c r="AC63" s="326">
        <v>10</v>
      </c>
      <c r="AD63" s="398"/>
      <c r="AE63" s="398"/>
      <c r="AF63" s="398"/>
      <c r="AG63" s="398"/>
      <c r="AH63" s="398"/>
      <c r="AI63" s="398"/>
    </row>
    <row r="64" spans="1:35" s="21" customFormat="1" ht="13.5">
      <c r="A64" s="398"/>
      <c r="B64" s="398"/>
      <c r="C64" s="398"/>
      <c r="D64" s="36" t="s">
        <v>152</v>
      </c>
      <c r="E64" s="96">
        <f t="shared" si="1"/>
        <v>0.05</v>
      </c>
      <c r="F64" s="398"/>
      <c r="G64" s="398"/>
      <c r="H64" s="398"/>
      <c r="I64" s="326">
        <v>9</v>
      </c>
      <c r="J64" s="326">
        <v>2</v>
      </c>
      <c r="K64" s="326">
        <v>10</v>
      </c>
      <c r="L64" s="326">
        <v>3</v>
      </c>
      <c r="M64" s="326">
        <v>4</v>
      </c>
      <c r="N64" s="326">
        <v>2</v>
      </c>
      <c r="O64" s="326">
        <v>3</v>
      </c>
      <c r="P64" s="326">
        <v>3</v>
      </c>
      <c r="Q64" s="326">
        <v>1</v>
      </c>
      <c r="R64" s="326">
        <v>1</v>
      </c>
      <c r="S64" s="326">
        <v>1</v>
      </c>
      <c r="T64" s="326">
        <v>1</v>
      </c>
      <c r="U64" s="326">
        <v>1</v>
      </c>
      <c r="V64" s="326">
        <v>3</v>
      </c>
      <c r="W64" s="326">
        <v>3</v>
      </c>
      <c r="X64" s="326">
        <v>1</v>
      </c>
      <c r="Y64" s="326">
        <v>1</v>
      </c>
      <c r="Z64" s="326">
        <v>4</v>
      </c>
      <c r="AA64" s="326">
        <v>0</v>
      </c>
      <c r="AB64" s="326">
        <v>5</v>
      </c>
      <c r="AC64" s="326">
        <v>10</v>
      </c>
      <c r="AD64" s="398"/>
      <c r="AE64" s="398"/>
      <c r="AF64" s="398"/>
      <c r="AG64" s="398"/>
      <c r="AH64" s="398"/>
      <c r="AI64" s="398"/>
    </row>
    <row r="65" spans="1:35" s="21" customFormat="1" ht="13.5">
      <c r="A65" s="398"/>
      <c r="B65" s="398"/>
      <c r="C65" s="398"/>
      <c r="D65" s="696" t="s">
        <v>1206</v>
      </c>
      <c r="E65" s="96">
        <f t="shared" si="1"/>
        <v>0.05</v>
      </c>
      <c r="F65" s="398"/>
      <c r="G65" s="398"/>
      <c r="H65" s="398"/>
      <c r="I65" s="326">
        <v>10</v>
      </c>
      <c r="J65" s="326">
        <v>2</v>
      </c>
      <c r="K65" s="326">
        <v>7</v>
      </c>
      <c r="L65" s="326">
        <v>4</v>
      </c>
      <c r="M65" s="326">
        <v>3</v>
      </c>
      <c r="N65" s="326">
        <v>3</v>
      </c>
      <c r="O65" s="326">
        <v>3</v>
      </c>
      <c r="P65" s="326">
        <v>3</v>
      </c>
      <c r="Q65" s="326">
        <v>1</v>
      </c>
      <c r="R65" s="326">
        <v>1</v>
      </c>
      <c r="S65" s="326">
        <v>1</v>
      </c>
      <c r="T65" s="326">
        <v>3</v>
      </c>
      <c r="U65" s="326">
        <v>1</v>
      </c>
      <c r="V65" s="326">
        <v>3</v>
      </c>
      <c r="W65" s="326">
        <v>3</v>
      </c>
      <c r="X65" s="326">
        <v>1</v>
      </c>
      <c r="Y65" s="326">
        <v>1</v>
      </c>
      <c r="Z65" s="326">
        <v>4</v>
      </c>
      <c r="AA65" s="326">
        <v>0</v>
      </c>
      <c r="AB65" s="326">
        <v>5</v>
      </c>
      <c r="AC65" s="326">
        <v>10</v>
      </c>
      <c r="AD65" s="398"/>
      <c r="AE65" s="398"/>
      <c r="AF65" s="398"/>
      <c r="AG65" s="398"/>
      <c r="AH65" s="398"/>
      <c r="AI65" s="398"/>
    </row>
    <row r="66" spans="1:35" s="75" customFormat="1" ht="12.75" customHeight="1">
      <c r="A66" s="398"/>
      <c r="B66" s="398"/>
      <c r="C66" s="398"/>
      <c r="D66" s="696" t="s">
        <v>154</v>
      </c>
      <c r="E66" s="96">
        <f t="shared" si="1"/>
        <v>0.05</v>
      </c>
      <c r="F66" s="398"/>
      <c r="G66" s="398"/>
      <c r="H66" s="398"/>
      <c r="I66" s="326">
        <v>2</v>
      </c>
      <c r="J66" s="326">
        <v>2</v>
      </c>
      <c r="K66" s="326">
        <v>10</v>
      </c>
      <c r="L66" s="326"/>
      <c r="M66" s="326"/>
      <c r="N66" s="326">
        <v>1</v>
      </c>
      <c r="O66" s="326">
        <v>2</v>
      </c>
      <c r="P66" s="326">
        <v>4</v>
      </c>
      <c r="Q66" s="326"/>
      <c r="R66" s="326"/>
      <c r="S66" s="326">
        <v>2</v>
      </c>
      <c r="T66" s="326"/>
      <c r="U66" s="326"/>
      <c r="V66" s="326">
        <v>2</v>
      </c>
      <c r="W66" s="326">
        <v>2</v>
      </c>
      <c r="X66" s="326"/>
      <c r="Y66" s="326"/>
      <c r="Z66" s="326"/>
      <c r="AA66" s="326">
        <v>0</v>
      </c>
      <c r="AB66" s="326">
        <v>5</v>
      </c>
      <c r="AC66" s="326">
        <v>10</v>
      </c>
      <c r="AD66" s="398"/>
      <c r="AE66" s="398"/>
      <c r="AF66" s="398"/>
      <c r="AG66" s="398"/>
      <c r="AH66" s="398"/>
      <c r="AI66" s="398"/>
    </row>
    <row r="67" spans="1:35" s="75" customFormat="1" ht="12.75" customHeight="1">
      <c r="A67" s="398"/>
      <c r="B67" s="398"/>
      <c r="C67" s="398"/>
      <c r="D67" s="696" t="s">
        <v>155</v>
      </c>
      <c r="E67" s="96">
        <f t="shared" si="1"/>
        <v>0.05</v>
      </c>
      <c r="F67" s="398"/>
      <c r="G67" s="398"/>
      <c r="H67" s="398"/>
      <c r="I67" s="326">
        <v>2</v>
      </c>
      <c r="J67" s="326">
        <v>2</v>
      </c>
      <c r="K67" s="326">
        <v>10</v>
      </c>
      <c r="L67" s="326">
        <v>4</v>
      </c>
      <c r="M67" s="326">
        <v>3</v>
      </c>
      <c r="N67" s="326">
        <v>3</v>
      </c>
      <c r="O67" s="326">
        <v>3</v>
      </c>
      <c r="P67" s="326">
        <v>7</v>
      </c>
      <c r="Q67" s="326">
        <v>2</v>
      </c>
      <c r="R67" s="326"/>
      <c r="S67" s="326"/>
      <c r="T67" s="326"/>
      <c r="U67" s="326"/>
      <c r="V67" s="326">
        <v>3</v>
      </c>
      <c r="W67" s="326">
        <v>2</v>
      </c>
      <c r="X67" s="326"/>
      <c r="Y67" s="326"/>
      <c r="Z67" s="326"/>
      <c r="AA67" s="326">
        <v>0</v>
      </c>
      <c r="AB67" s="326">
        <v>5</v>
      </c>
      <c r="AC67" s="326">
        <v>10</v>
      </c>
      <c r="AD67" s="398"/>
      <c r="AE67" s="398"/>
      <c r="AF67" s="398"/>
      <c r="AG67" s="398"/>
      <c r="AH67" s="398"/>
      <c r="AI67" s="398"/>
    </row>
    <row r="68" spans="1:35" s="21" customFormat="1" ht="12.75" customHeight="1">
      <c r="A68" s="398"/>
      <c r="B68" s="398"/>
      <c r="C68" s="398"/>
      <c r="D68" s="696" t="s">
        <v>1207</v>
      </c>
      <c r="E68" s="96">
        <f t="shared" si="1"/>
        <v>0.05</v>
      </c>
      <c r="F68" s="398"/>
      <c r="G68" s="398"/>
      <c r="H68" s="398"/>
      <c r="I68" s="326">
        <v>7</v>
      </c>
      <c r="J68" s="326">
        <v>2</v>
      </c>
      <c r="K68" s="326">
        <v>10</v>
      </c>
      <c r="L68" s="326">
        <v>3</v>
      </c>
      <c r="M68" s="326">
        <v>3</v>
      </c>
      <c r="N68" s="326">
        <v>8</v>
      </c>
      <c r="O68" s="326">
        <v>3</v>
      </c>
      <c r="P68" s="326">
        <v>3</v>
      </c>
      <c r="Q68" s="326">
        <v>1</v>
      </c>
      <c r="R68" s="326">
        <v>1</v>
      </c>
      <c r="S68" s="326">
        <v>1</v>
      </c>
      <c r="T68" s="326">
        <v>4</v>
      </c>
      <c r="U68" s="326">
        <v>1</v>
      </c>
      <c r="V68" s="326">
        <v>4</v>
      </c>
      <c r="W68" s="326">
        <v>3</v>
      </c>
      <c r="X68" s="326">
        <v>2</v>
      </c>
      <c r="Y68" s="326">
        <v>1</v>
      </c>
      <c r="Z68" s="326">
        <v>1</v>
      </c>
      <c r="AA68" s="326">
        <v>0</v>
      </c>
      <c r="AB68" s="326">
        <v>5</v>
      </c>
      <c r="AC68" s="326">
        <v>10</v>
      </c>
      <c r="AD68" s="398"/>
      <c r="AE68" s="398"/>
      <c r="AF68" s="398"/>
      <c r="AG68" s="398"/>
      <c r="AH68" s="398"/>
      <c r="AI68" s="398"/>
    </row>
    <row r="69" spans="1:35" s="28" customFormat="1" ht="12.75" customHeight="1">
      <c r="A69" s="398"/>
      <c r="B69" s="398"/>
      <c r="C69" s="398"/>
      <c r="D69" s="38" t="s">
        <v>259</v>
      </c>
      <c r="E69" s="398"/>
      <c r="F69" s="398"/>
      <c r="G69" s="398"/>
      <c r="H69" s="398"/>
      <c r="I69" s="274"/>
      <c r="J69" s="274"/>
      <c r="K69" s="274"/>
      <c r="L69" s="274"/>
      <c r="M69" s="274"/>
      <c r="N69" s="274"/>
      <c r="O69" s="274"/>
      <c r="P69" s="274"/>
      <c r="Q69" s="274"/>
      <c r="R69" s="274"/>
      <c r="S69" s="274"/>
      <c r="T69" s="274"/>
      <c r="U69" s="274"/>
      <c r="V69" s="274"/>
      <c r="W69" s="274"/>
      <c r="X69" s="274"/>
      <c r="Y69" s="274"/>
      <c r="Z69" s="274"/>
      <c r="AA69" s="274"/>
      <c r="AB69" s="274"/>
      <c r="AC69" s="274"/>
      <c r="AD69" s="398"/>
      <c r="AE69" s="398"/>
      <c r="AF69" s="398"/>
      <c r="AG69" s="398"/>
      <c r="AH69" s="398"/>
      <c r="AI69" s="398"/>
    </row>
    <row r="70" spans="1:35" s="21" customFormat="1" ht="15">
      <c r="A70" s="398"/>
      <c r="B70" s="6" t="s">
        <v>808</v>
      </c>
      <c r="C70" s="6"/>
      <c r="D70" s="398"/>
      <c r="E70" s="398"/>
      <c r="F70" s="398"/>
      <c r="G70" s="398"/>
      <c r="H70" s="398"/>
      <c r="I70" s="274"/>
      <c r="J70" s="274"/>
      <c r="K70" s="274"/>
      <c r="L70" s="274"/>
      <c r="M70" s="274"/>
      <c r="N70" s="274"/>
      <c r="O70" s="274"/>
      <c r="P70" s="274"/>
      <c r="Q70" s="274"/>
      <c r="R70" s="274"/>
      <c r="S70" s="274"/>
      <c r="T70" s="274"/>
      <c r="U70" s="274"/>
      <c r="V70" s="274"/>
      <c r="W70" s="274"/>
      <c r="X70" s="274"/>
      <c r="Y70" s="274"/>
      <c r="Z70" s="274"/>
      <c r="AA70" s="274"/>
      <c r="AB70" s="274"/>
      <c r="AC70" s="274"/>
      <c r="AD70" s="398"/>
      <c r="AE70" s="398"/>
      <c r="AF70" s="398"/>
      <c r="AG70" s="398"/>
      <c r="AH70" s="398"/>
      <c r="AI70" s="398"/>
    </row>
    <row r="71" spans="1:35" s="21" customFormat="1" ht="15">
      <c r="A71" s="398"/>
      <c r="B71" s="6"/>
      <c r="C71" s="8" t="s">
        <v>434</v>
      </c>
      <c r="D71" s="398"/>
      <c r="E71" s="398"/>
      <c r="F71" s="398"/>
      <c r="G71" s="398"/>
      <c r="H71" s="398"/>
      <c r="I71" s="274"/>
      <c r="J71" s="274"/>
      <c r="K71" s="274"/>
      <c r="L71" s="274"/>
      <c r="M71" s="274"/>
      <c r="N71" s="274"/>
      <c r="O71" s="274"/>
      <c r="P71" s="274"/>
      <c r="Q71" s="274"/>
      <c r="R71" s="274"/>
      <c r="S71" s="274"/>
      <c r="T71" s="274"/>
      <c r="U71" s="274"/>
      <c r="V71" s="274"/>
      <c r="W71" s="274"/>
      <c r="X71" s="274"/>
      <c r="Y71" s="274"/>
      <c r="Z71" s="274"/>
      <c r="AA71" s="274"/>
      <c r="AB71" s="274"/>
      <c r="AC71" s="274"/>
      <c r="AD71" s="398"/>
      <c r="AE71" s="398"/>
      <c r="AF71" s="398"/>
      <c r="AG71" s="398"/>
      <c r="AH71" s="398"/>
      <c r="AI71" s="398"/>
    </row>
    <row r="72" spans="1:35" s="21" customFormat="1" ht="13.5">
      <c r="A72" s="398"/>
      <c r="B72" s="398"/>
      <c r="C72" s="398"/>
      <c r="D72" s="696" t="s">
        <v>435</v>
      </c>
      <c r="E72" s="35">
        <f t="shared" ref="E72:E77" si="2">INDEX(I72:AC72,1,$E$2)/10*ProjectScaleScalar</f>
        <v>2.5000000000000001E-2</v>
      </c>
      <c r="F72" s="398"/>
      <c r="G72" s="398"/>
      <c r="H72" s="398"/>
      <c r="I72" s="326">
        <v>10</v>
      </c>
      <c r="J72" s="326">
        <v>1</v>
      </c>
      <c r="K72" s="326">
        <v>3</v>
      </c>
      <c r="L72" s="326"/>
      <c r="M72" s="326"/>
      <c r="N72" s="326">
        <v>6</v>
      </c>
      <c r="O72" s="326">
        <v>4</v>
      </c>
      <c r="P72" s="326">
        <v>2</v>
      </c>
      <c r="Q72" s="326"/>
      <c r="R72" s="326"/>
      <c r="S72" s="326"/>
      <c r="T72" s="326">
        <v>2</v>
      </c>
      <c r="U72" s="326"/>
      <c r="V72" s="326">
        <v>3</v>
      </c>
      <c r="W72" s="326">
        <v>3</v>
      </c>
      <c r="X72" s="326">
        <v>4</v>
      </c>
      <c r="Y72" s="326">
        <v>2</v>
      </c>
      <c r="Z72" s="326">
        <v>3</v>
      </c>
      <c r="AA72" s="326">
        <v>0</v>
      </c>
      <c r="AB72" s="326">
        <v>5</v>
      </c>
      <c r="AC72" s="326">
        <v>10</v>
      </c>
      <c r="AD72" s="398"/>
      <c r="AE72" s="398"/>
      <c r="AF72" s="398"/>
      <c r="AG72" s="398"/>
      <c r="AH72" s="398"/>
      <c r="AI72" s="398"/>
    </row>
    <row r="73" spans="1:35" s="21" customFormat="1" ht="13.5">
      <c r="A73" s="398"/>
      <c r="B73" s="398"/>
      <c r="C73" s="398"/>
      <c r="D73" s="696" t="s">
        <v>436</v>
      </c>
      <c r="E73" s="35">
        <f t="shared" si="2"/>
        <v>7.4999999999999997E-2</v>
      </c>
      <c r="F73" s="398"/>
      <c r="G73" s="398"/>
      <c r="H73" s="398"/>
      <c r="I73" s="326">
        <v>2</v>
      </c>
      <c r="J73" s="326">
        <v>3</v>
      </c>
      <c r="K73" s="326">
        <v>7</v>
      </c>
      <c r="L73" s="326"/>
      <c r="M73" s="326">
        <v>1</v>
      </c>
      <c r="N73" s="326">
        <v>10</v>
      </c>
      <c r="O73" s="326">
        <v>4</v>
      </c>
      <c r="P73" s="326">
        <v>5</v>
      </c>
      <c r="Q73" s="326"/>
      <c r="R73" s="326"/>
      <c r="S73" s="326"/>
      <c r="T73" s="326"/>
      <c r="U73" s="326">
        <v>1</v>
      </c>
      <c r="V73" s="326">
        <v>4</v>
      </c>
      <c r="W73" s="326">
        <v>5</v>
      </c>
      <c r="X73" s="326">
        <v>4</v>
      </c>
      <c r="Y73" s="326">
        <v>2</v>
      </c>
      <c r="Z73" s="326">
        <v>4</v>
      </c>
      <c r="AA73" s="326">
        <v>0</v>
      </c>
      <c r="AB73" s="326">
        <v>5</v>
      </c>
      <c r="AC73" s="326">
        <v>10</v>
      </c>
      <c r="AD73" s="398"/>
      <c r="AE73" s="398"/>
      <c r="AF73" s="398"/>
      <c r="AG73" s="398"/>
      <c r="AH73" s="398"/>
      <c r="AI73" s="398"/>
    </row>
    <row r="74" spans="1:35" s="21" customFormat="1" ht="13.5">
      <c r="A74" s="398"/>
      <c r="B74" s="398"/>
      <c r="C74" s="398"/>
      <c r="D74" s="696" t="s">
        <v>369</v>
      </c>
      <c r="E74" s="35">
        <f t="shared" si="2"/>
        <v>0.25</v>
      </c>
      <c r="F74" s="398"/>
      <c r="G74" s="398"/>
      <c r="H74" s="398"/>
      <c r="I74" s="326">
        <v>3</v>
      </c>
      <c r="J74" s="326">
        <v>10</v>
      </c>
      <c r="K74" s="326">
        <v>2</v>
      </c>
      <c r="L74" s="326">
        <v>4</v>
      </c>
      <c r="M74" s="326"/>
      <c r="N74" s="326"/>
      <c r="O74" s="326">
        <v>3</v>
      </c>
      <c r="P74" s="326">
        <v>4</v>
      </c>
      <c r="Q74" s="326"/>
      <c r="R74" s="326"/>
      <c r="S74" s="326"/>
      <c r="T74" s="326"/>
      <c r="U74" s="326"/>
      <c r="V74" s="326"/>
      <c r="W74" s="326">
        <v>2</v>
      </c>
      <c r="X74" s="326"/>
      <c r="Y74" s="326"/>
      <c r="Z74" s="326"/>
      <c r="AA74" s="326">
        <v>0</v>
      </c>
      <c r="AB74" s="326">
        <v>5</v>
      </c>
      <c r="AC74" s="326">
        <v>10</v>
      </c>
      <c r="AD74" s="398"/>
      <c r="AE74" s="398"/>
      <c r="AF74" s="398"/>
      <c r="AG74" s="398"/>
      <c r="AH74" s="398"/>
      <c r="AI74" s="398"/>
    </row>
    <row r="75" spans="1:35" s="21" customFormat="1" ht="13.5">
      <c r="A75" s="398"/>
      <c r="B75" s="398"/>
      <c r="C75" s="398"/>
      <c r="D75" s="696" t="s">
        <v>437</v>
      </c>
      <c r="E75" s="35">
        <f t="shared" si="2"/>
        <v>2.5000000000000001E-2</v>
      </c>
      <c r="F75" s="398"/>
      <c r="G75" s="398"/>
      <c r="H75" s="398"/>
      <c r="I75" s="326">
        <v>2</v>
      </c>
      <c r="J75" s="326">
        <v>1</v>
      </c>
      <c r="K75" s="326">
        <v>2</v>
      </c>
      <c r="L75" s="326"/>
      <c r="M75" s="326">
        <v>2</v>
      </c>
      <c r="N75" s="326">
        <v>2</v>
      </c>
      <c r="O75" s="326">
        <v>3</v>
      </c>
      <c r="P75" s="326">
        <v>10</v>
      </c>
      <c r="Q75" s="326"/>
      <c r="R75" s="326"/>
      <c r="S75" s="326">
        <v>1</v>
      </c>
      <c r="T75" s="326">
        <v>1</v>
      </c>
      <c r="U75" s="326">
        <v>1</v>
      </c>
      <c r="V75" s="326">
        <v>2</v>
      </c>
      <c r="W75" s="326">
        <v>2</v>
      </c>
      <c r="X75" s="326">
        <v>2</v>
      </c>
      <c r="Y75" s="326">
        <v>1</v>
      </c>
      <c r="Z75" s="326">
        <v>3</v>
      </c>
      <c r="AA75" s="326">
        <v>0</v>
      </c>
      <c r="AB75" s="326">
        <v>5</v>
      </c>
      <c r="AC75" s="326">
        <v>10</v>
      </c>
      <c r="AD75" s="398"/>
      <c r="AE75" s="398"/>
      <c r="AF75" s="398"/>
      <c r="AG75" s="398"/>
      <c r="AH75" s="398"/>
      <c r="AI75" s="398"/>
    </row>
    <row r="76" spans="1:35" s="21" customFormat="1" ht="13.5">
      <c r="A76" s="398"/>
      <c r="B76" s="398"/>
      <c r="C76" s="398"/>
      <c r="D76" s="696" t="s">
        <v>438</v>
      </c>
      <c r="E76" s="35">
        <f t="shared" si="2"/>
        <v>0.25</v>
      </c>
      <c r="F76" s="398"/>
      <c r="G76" s="398"/>
      <c r="H76" s="398"/>
      <c r="I76" s="326">
        <v>10</v>
      </c>
      <c r="J76" s="326">
        <v>10</v>
      </c>
      <c r="K76" s="326">
        <v>7</v>
      </c>
      <c r="L76" s="326">
        <v>2</v>
      </c>
      <c r="M76" s="326"/>
      <c r="N76" s="326">
        <v>2</v>
      </c>
      <c r="O76" s="326">
        <v>3</v>
      </c>
      <c r="P76" s="326">
        <v>4</v>
      </c>
      <c r="Q76" s="326">
        <v>1</v>
      </c>
      <c r="R76" s="326"/>
      <c r="S76" s="326"/>
      <c r="T76" s="326"/>
      <c r="U76" s="326"/>
      <c r="V76" s="326"/>
      <c r="W76" s="326"/>
      <c r="X76" s="326"/>
      <c r="Y76" s="326"/>
      <c r="Z76" s="326"/>
      <c r="AA76" s="326">
        <v>0</v>
      </c>
      <c r="AB76" s="326">
        <v>5</v>
      </c>
      <c r="AC76" s="326">
        <v>10</v>
      </c>
      <c r="AD76" s="398"/>
      <c r="AE76" s="398"/>
      <c r="AF76" s="398"/>
      <c r="AG76" s="398"/>
      <c r="AH76" s="398"/>
      <c r="AI76" s="398"/>
    </row>
    <row r="77" spans="1:35" s="21" customFormat="1" ht="13.5">
      <c r="A77" s="398"/>
      <c r="B77" s="398"/>
      <c r="C77" s="398"/>
      <c r="D77" s="696" t="s">
        <v>439</v>
      </c>
      <c r="E77" s="35">
        <f t="shared" si="2"/>
        <v>0.25</v>
      </c>
      <c r="F77" s="398"/>
      <c r="G77" s="398"/>
      <c r="H77" s="398"/>
      <c r="I77" s="326">
        <v>2</v>
      </c>
      <c r="J77" s="326">
        <v>10</v>
      </c>
      <c r="K77" s="326">
        <v>4</v>
      </c>
      <c r="L77" s="326">
        <v>4</v>
      </c>
      <c r="M77" s="326">
        <v>4</v>
      </c>
      <c r="N77" s="326">
        <v>2</v>
      </c>
      <c r="O77" s="326">
        <v>3</v>
      </c>
      <c r="P77" s="326">
        <v>4</v>
      </c>
      <c r="Q77" s="326">
        <v>1</v>
      </c>
      <c r="R77" s="326">
        <v>1</v>
      </c>
      <c r="S77" s="326"/>
      <c r="T77" s="326"/>
      <c r="U77" s="326"/>
      <c r="V77" s="326"/>
      <c r="W77" s="326"/>
      <c r="X77" s="326"/>
      <c r="Y77" s="326"/>
      <c r="Z77" s="326"/>
      <c r="AA77" s="326">
        <v>0</v>
      </c>
      <c r="AB77" s="326">
        <v>5</v>
      </c>
      <c r="AC77" s="326">
        <v>10</v>
      </c>
      <c r="AD77" s="398"/>
      <c r="AE77" s="398"/>
      <c r="AF77" s="398"/>
      <c r="AG77" s="398"/>
      <c r="AH77" s="398"/>
      <c r="AI77" s="398"/>
    </row>
    <row r="78" spans="1:35" s="28" customFormat="1">
      <c r="A78" s="398"/>
      <c r="B78" s="398"/>
      <c r="C78" s="398"/>
      <c r="D78" s="38" t="s">
        <v>259</v>
      </c>
      <c r="E78" s="398"/>
      <c r="F78" s="398"/>
      <c r="G78" s="398"/>
      <c r="H78" s="398"/>
      <c r="I78" s="274"/>
      <c r="J78" s="274"/>
      <c r="K78" s="274"/>
      <c r="L78" s="274"/>
      <c r="M78" s="274"/>
      <c r="N78" s="274"/>
      <c r="O78" s="274"/>
      <c r="P78" s="274"/>
      <c r="Q78" s="274"/>
      <c r="R78" s="274"/>
      <c r="S78" s="274"/>
      <c r="T78" s="274"/>
      <c r="U78" s="274"/>
      <c r="V78" s="274"/>
      <c r="W78" s="274"/>
      <c r="X78" s="274"/>
      <c r="Y78" s="274"/>
      <c r="Z78" s="274"/>
      <c r="AA78" s="274"/>
      <c r="AB78" s="274"/>
      <c r="AC78" s="274"/>
      <c r="AD78" s="398"/>
      <c r="AE78" s="398"/>
      <c r="AF78" s="398"/>
      <c r="AG78" s="398"/>
      <c r="AH78" s="398"/>
      <c r="AI78" s="398"/>
    </row>
    <row r="79" spans="1:35" s="21" customFormat="1" ht="15">
      <c r="A79" s="398"/>
      <c r="B79" s="6"/>
      <c r="C79" s="8" t="s">
        <v>440</v>
      </c>
      <c r="D79" s="398"/>
      <c r="E79" s="398"/>
      <c r="F79" s="398"/>
      <c r="G79" s="398"/>
      <c r="H79" s="398"/>
      <c r="I79" s="274"/>
      <c r="J79" s="274"/>
      <c r="K79" s="274"/>
      <c r="L79" s="274"/>
      <c r="M79" s="274"/>
      <c r="N79" s="274"/>
      <c r="O79" s="274"/>
      <c r="P79" s="274"/>
      <c r="Q79" s="274"/>
      <c r="R79" s="274"/>
      <c r="S79" s="274"/>
      <c r="T79" s="274"/>
      <c r="U79" s="274"/>
      <c r="V79" s="274"/>
      <c r="W79" s="274"/>
      <c r="X79" s="274"/>
      <c r="Y79" s="274"/>
      <c r="Z79" s="274"/>
      <c r="AA79" s="274"/>
      <c r="AB79" s="274"/>
      <c r="AC79" s="274"/>
      <c r="AD79" s="398"/>
      <c r="AE79" s="398"/>
      <c r="AF79" s="398"/>
      <c r="AG79" s="398"/>
      <c r="AH79" s="398"/>
      <c r="AI79" s="398"/>
    </row>
    <row r="80" spans="1:35" s="21" customFormat="1" ht="13.5">
      <c r="A80" s="398"/>
      <c r="B80" s="398"/>
      <c r="C80" s="398"/>
      <c r="D80" s="696" t="s">
        <v>441</v>
      </c>
      <c r="E80" s="35">
        <f>INDEX(I80:AC80,1,$E$2)/10*ProjectScaleScalar</f>
        <v>0</v>
      </c>
      <c r="F80" s="398"/>
      <c r="G80" s="398"/>
      <c r="H80" s="398"/>
      <c r="I80" s="326">
        <v>2</v>
      </c>
      <c r="J80" s="326"/>
      <c r="K80" s="326">
        <v>2</v>
      </c>
      <c r="L80" s="326"/>
      <c r="M80" s="326">
        <v>2</v>
      </c>
      <c r="N80" s="326"/>
      <c r="O80" s="326"/>
      <c r="P80" s="326"/>
      <c r="Q80" s="326">
        <v>10</v>
      </c>
      <c r="R80" s="326">
        <v>5</v>
      </c>
      <c r="S80" s="326">
        <v>10</v>
      </c>
      <c r="T80" s="326"/>
      <c r="U80" s="326"/>
      <c r="V80" s="326">
        <v>1</v>
      </c>
      <c r="W80" s="326"/>
      <c r="X80" s="326"/>
      <c r="Y80" s="326"/>
      <c r="Z80" s="326"/>
      <c r="AA80" s="326">
        <v>0</v>
      </c>
      <c r="AB80" s="326">
        <v>5</v>
      </c>
      <c r="AC80" s="326">
        <v>10</v>
      </c>
      <c r="AD80" s="398"/>
      <c r="AE80" s="398"/>
      <c r="AF80" s="398"/>
      <c r="AG80" s="398"/>
      <c r="AH80" s="398"/>
      <c r="AI80" s="398"/>
    </row>
    <row r="81" spans="1:35" s="21" customFormat="1" ht="13.5">
      <c r="A81" s="398"/>
      <c r="B81" s="398"/>
      <c r="C81" s="398"/>
      <c r="D81" s="696" t="s">
        <v>442</v>
      </c>
      <c r="E81" s="35">
        <f>INDEX(I81:AC81,1,$E$2)/10*ProjectScaleScalar</f>
        <v>0</v>
      </c>
      <c r="F81" s="398"/>
      <c r="G81" s="398"/>
      <c r="H81" s="398"/>
      <c r="I81" s="326"/>
      <c r="J81" s="326"/>
      <c r="K81" s="326"/>
      <c r="L81" s="326"/>
      <c r="M81" s="326">
        <v>3</v>
      </c>
      <c r="N81" s="326">
        <v>3</v>
      </c>
      <c r="O81" s="326">
        <v>1</v>
      </c>
      <c r="P81" s="326">
        <v>1</v>
      </c>
      <c r="Q81" s="326"/>
      <c r="R81" s="326">
        <v>4</v>
      </c>
      <c r="S81" s="326">
        <v>2</v>
      </c>
      <c r="T81" s="326">
        <v>1</v>
      </c>
      <c r="U81" s="326">
        <v>2</v>
      </c>
      <c r="V81" s="326">
        <v>4</v>
      </c>
      <c r="W81" s="326">
        <v>4</v>
      </c>
      <c r="X81" s="326">
        <v>3</v>
      </c>
      <c r="Y81" s="326">
        <v>3</v>
      </c>
      <c r="Z81" s="326">
        <v>10</v>
      </c>
      <c r="AA81" s="326">
        <v>0</v>
      </c>
      <c r="AB81" s="326">
        <v>5</v>
      </c>
      <c r="AC81" s="326">
        <v>10</v>
      </c>
      <c r="AD81" s="398"/>
      <c r="AE81" s="398"/>
      <c r="AF81" s="398"/>
      <c r="AG81" s="398"/>
      <c r="AH81" s="398"/>
      <c r="AI81" s="398"/>
    </row>
    <row r="82" spans="1:35" s="21" customFormat="1" ht="13.5">
      <c r="A82" s="398"/>
      <c r="B82" s="398"/>
      <c r="C82" s="398"/>
      <c r="D82" s="696" t="s">
        <v>443</v>
      </c>
      <c r="E82" s="35">
        <f>INDEX(I82:AC82,1,$E$2)/10*ProjectScaleScalar</f>
        <v>0</v>
      </c>
      <c r="F82" s="398"/>
      <c r="G82" s="398"/>
      <c r="H82" s="398"/>
      <c r="I82" s="326"/>
      <c r="J82" s="326"/>
      <c r="K82" s="326"/>
      <c r="L82" s="326"/>
      <c r="M82" s="326"/>
      <c r="N82" s="326"/>
      <c r="O82" s="326">
        <v>2</v>
      </c>
      <c r="P82" s="326"/>
      <c r="Q82" s="326"/>
      <c r="R82" s="326">
        <v>1</v>
      </c>
      <c r="S82" s="326"/>
      <c r="T82" s="326">
        <v>2</v>
      </c>
      <c r="U82" s="326">
        <v>1</v>
      </c>
      <c r="V82" s="326">
        <v>4</v>
      </c>
      <c r="W82" s="326">
        <v>3</v>
      </c>
      <c r="X82" s="326">
        <v>3</v>
      </c>
      <c r="Y82" s="326">
        <v>1</v>
      </c>
      <c r="Z82" s="326">
        <v>10</v>
      </c>
      <c r="AA82" s="326">
        <v>0</v>
      </c>
      <c r="AB82" s="326">
        <v>5</v>
      </c>
      <c r="AC82" s="326">
        <v>10</v>
      </c>
      <c r="AD82" s="398"/>
      <c r="AE82" s="398"/>
      <c r="AF82" s="398"/>
      <c r="AG82" s="398"/>
      <c r="AH82" s="398"/>
      <c r="AI82" s="398"/>
    </row>
    <row r="83" spans="1:35" s="28" customFormat="1">
      <c r="A83" s="398"/>
      <c r="B83" s="398"/>
      <c r="C83" s="398"/>
      <c r="D83" s="38" t="s">
        <v>259</v>
      </c>
      <c r="E83" s="398"/>
      <c r="F83" s="398"/>
      <c r="G83" s="398"/>
      <c r="H83" s="398"/>
      <c r="I83" s="274"/>
      <c r="J83" s="274"/>
      <c r="K83" s="274"/>
      <c r="L83" s="274"/>
      <c r="M83" s="274"/>
      <c r="N83" s="274"/>
      <c r="O83" s="274"/>
      <c r="P83" s="274"/>
      <c r="Q83" s="274"/>
      <c r="R83" s="274"/>
      <c r="S83" s="274"/>
      <c r="T83" s="274"/>
      <c r="U83" s="274"/>
      <c r="V83" s="274"/>
      <c r="W83" s="274"/>
      <c r="X83" s="274"/>
      <c r="Y83" s="274"/>
      <c r="Z83" s="274"/>
      <c r="AA83" s="274"/>
      <c r="AB83" s="274"/>
      <c r="AC83" s="274"/>
      <c r="AD83" s="398"/>
      <c r="AE83" s="398"/>
      <c r="AF83" s="398"/>
      <c r="AG83" s="398"/>
      <c r="AH83" s="398"/>
      <c r="AI83" s="398"/>
    </row>
    <row r="84" spans="1:35" s="28" customFormat="1" ht="6.75" customHeight="1">
      <c r="A84" s="398"/>
      <c r="B84" s="398"/>
      <c r="C84" s="398"/>
      <c r="D84" s="398"/>
      <c r="E84" s="398"/>
      <c r="F84" s="398"/>
      <c r="G84" s="398"/>
      <c r="H84" s="398"/>
      <c r="I84" s="274"/>
      <c r="J84" s="274"/>
      <c r="K84" s="274"/>
      <c r="L84" s="274"/>
      <c r="M84" s="274"/>
      <c r="N84" s="274"/>
      <c r="O84" s="274"/>
      <c r="P84" s="274"/>
      <c r="Q84" s="274"/>
      <c r="R84" s="274"/>
      <c r="S84" s="274"/>
      <c r="T84" s="274"/>
      <c r="U84" s="274"/>
      <c r="V84" s="274"/>
      <c r="W84" s="274"/>
      <c r="X84" s="274"/>
      <c r="Y84" s="274"/>
      <c r="Z84" s="274"/>
      <c r="AA84" s="274"/>
      <c r="AB84" s="274"/>
      <c r="AC84" s="274"/>
      <c r="AD84" s="398"/>
      <c r="AE84" s="398"/>
      <c r="AF84" s="398"/>
      <c r="AG84" s="398"/>
      <c r="AH84" s="398"/>
      <c r="AI84" s="398"/>
    </row>
    <row r="85" spans="1:35" s="28" customFormat="1">
      <c r="A85" s="398"/>
      <c r="B85" s="398"/>
      <c r="C85" s="204"/>
      <c r="D85" s="39" t="s">
        <v>1208</v>
      </c>
      <c r="E85" s="398"/>
      <c r="F85" s="398"/>
      <c r="G85" s="398"/>
      <c r="H85" s="398"/>
      <c r="I85" s="274"/>
      <c r="J85" s="274"/>
      <c r="K85" s="274"/>
      <c r="L85" s="274"/>
      <c r="M85" s="274"/>
      <c r="N85" s="274"/>
      <c r="O85" s="274"/>
      <c r="P85" s="274"/>
      <c r="Q85" s="274"/>
      <c r="R85" s="274"/>
      <c r="S85" s="274"/>
      <c r="T85" s="274"/>
      <c r="U85" s="274"/>
      <c r="V85" s="274"/>
      <c r="W85" s="274"/>
      <c r="X85" s="274"/>
      <c r="Y85" s="274"/>
      <c r="Z85" s="274"/>
      <c r="AA85" s="274"/>
      <c r="AB85" s="274"/>
      <c r="AC85" s="274"/>
      <c r="AD85" s="398"/>
      <c r="AE85" s="398"/>
      <c r="AF85" s="398"/>
      <c r="AG85" s="398"/>
      <c r="AH85" s="398"/>
      <c r="AI85" s="398"/>
    </row>
    <row r="86" spans="1:35" s="28" customFormat="1" ht="6.75" customHeight="1">
      <c r="A86" s="398"/>
      <c r="B86" s="398"/>
      <c r="C86" s="398"/>
      <c r="D86" s="398"/>
      <c r="E86" s="398"/>
      <c r="F86" s="398"/>
      <c r="G86" s="398"/>
      <c r="H86" s="398"/>
      <c r="I86" s="274"/>
      <c r="J86" s="274"/>
      <c r="K86" s="274"/>
      <c r="L86" s="274"/>
      <c r="M86" s="274"/>
      <c r="N86" s="274"/>
      <c r="O86" s="274"/>
      <c r="P86" s="274"/>
      <c r="Q86" s="274"/>
      <c r="R86" s="274"/>
      <c r="S86" s="274"/>
      <c r="T86" s="274"/>
      <c r="U86" s="274"/>
      <c r="V86" s="274"/>
      <c r="W86" s="274"/>
      <c r="X86" s="274"/>
      <c r="Y86" s="274"/>
      <c r="Z86" s="274"/>
      <c r="AA86" s="274"/>
      <c r="AB86" s="274"/>
      <c r="AC86" s="274"/>
      <c r="AD86" s="398"/>
      <c r="AE86" s="398"/>
      <c r="AF86" s="398"/>
      <c r="AG86" s="398"/>
      <c r="AH86" s="398"/>
      <c r="AI86" s="398"/>
    </row>
    <row r="87" spans="1:35" s="21" customFormat="1" ht="15">
      <c r="A87" s="398"/>
      <c r="B87" s="6" t="s">
        <v>28</v>
      </c>
      <c r="C87" s="6"/>
      <c r="D87" s="398"/>
      <c r="E87" s="398"/>
      <c r="F87" s="398"/>
      <c r="G87" s="398"/>
      <c r="H87" s="398"/>
      <c r="I87" s="274"/>
      <c r="J87" s="274"/>
      <c r="K87" s="274"/>
      <c r="L87" s="274"/>
      <c r="M87" s="274"/>
      <c r="N87" s="274"/>
      <c r="O87" s="274"/>
      <c r="P87" s="274"/>
      <c r="Q87" s="274"/>
      <c r="R87" s="274"/>
      <c r="S87" s="274"/>
      <c r="T87" s="274"/>
      <c r="U87" s="274"/>
      <c r="V87" s="274"/>
      <c r="W87" s="274"/>
      <c r="X87" s="274"/>
      <c r="Y87" s="274"/>
      <c r="Z87" s="274"/>
      <c r="AA87" s="274"/>
      <c r="AB87" s="274"/>
      <c r="AC87" s="274"/>
      <c r="AD87" s="398"/>
      <c r="AE87" s="398"/>
      <c r="AF87" s="398"/>
      <c r="AG87" s="398"/>
      <c r="AH87" s="398"/>
      <c r="AI87" s="398"/>
    </row>
    <row r="88" spans="1:35" s="21" customFormat="1" ht="15">
      <c r="A88" s="398"/>
      <c r="B88" s="6"/>
      <c r="C88" s="8" t="s">
        <v>512</v>
      </c>
      <c r="D88" s="398"/>
      <c r="E88" s="398"/>
      <c r="F88" s="398"/>
      <c r="G88" s="398"/>
      <c r="H88" s="398"/>
      <c r="I88" s="274"/>
      <c r="J88" s="274"/>
      <c r="K88" s="274"/>
      <c r="L88" s="274"/>
      <c r="M88" s="274"/>
      <c r="N88" s="274"/>
      <c r="O88" s="274"/>
      <c r="P88" s="274"/>
      <c r="Q88" s="274"/>
      <c r="R88" s="274"/>
      <c r="S88" s="274"/>
      <c r="T88" s="274"/>
      <c r="U88" s="274"/>
      <c r="V88" s="274"/>
      <c r="W88" s="274"/>
      <c r="X88" s="274"/>
      <c r="Y88" s="274"/>
      <c r="Z88" s="274"/>
      <c r="AA88" s="274"/>
      <c r="AB88" s="274"/>
      <c r="AC88" s="274"/>
      <c r="AD88" s="398"/>
      <c r="AE88" s="398"/>
      <c r="AF88" s="398"/>
      <c r="AG88" s="398"/>
      <c r="AH88" s="398"/>
      <c r="AI88" s="398"/>
    </row>
    <row r="89" spans="1:35" s="21" customFormat="1" ht="13.5">
      <c r="A89" s="398"/>
      <c r="B89" s="398"/>
      <c r="C89" s="398"/>
      <c r="D89" s="696" t="s">
        <v>529</v>
      </c>
      <c r="E89" s="35">
        <f>INDEX(I89:AC89,1,$E$2)/10*ProjectScaleScalar</f>
        <v>0</v>
      </c>
      <c r="F89" s="398"/>
      <c r="G89" s="398"/>
      <c r="H89" s="398"/>
      <c r="I89" s="326">
        <v>1</v>
      </c>
      <c r="J89" s="326"/>
      <c r="K89" s="326">
        <v>1</v>
      </c>
      <c r="L89" s="326">
        <v>1</v>
      </c>
      <c r="M89" s="326"/>
      <c r="N89" s="326"/>
      <c r="O89" s="326"/>
      <c r="P89" s="326"/>
      <c r="Q89" s="326"/>
      <c r="R89" s="326">
        <v>10</v>
      </c>
      <c r="S89" s="326">
        <v>1</v>
      </c>
      <c r="T89" s="326">
        <v>5</v>
      </c>
      <c r="U89" s="326"/>
      <c r="V89" s="326">
        <v>2</v>
      </c>
      <c r="W89" s="326">
        <v>2</v>
      </c>
      <c r="X89" s="326">
        <v>2</v>
      </c>
      <c r="Y89" s="326">
        <v>2</v>
      </c>
      <c r="Z89" s="326">
        <v>2</v>
      </c>
      <c r="AA89" s="326">
        <v>0</v>
      </c>
      <c r="AB89" s="326">
        <v>5</v>
      </c>
      <c r="AC89" s="326">
        <v>10</v>
      </c>
      <c r="AD89" s="398"/>
      <c r="AE89" s="398"/>
      <c r="AF89" s="398"/>
      <c r="AG89" s="398"/>
      <c r="AH89" s="398"/>
      <c r="AI89" s="398"/>
    </row>
    <row r="90" spans="1:35" s="21" customFormat="1" ht="13.5">
      <c r="A90" s="398"/>
      <c r="B90" s="398"/>
      <c r="C90" s="398"/>
      <c r="D90" s="696" t="s">
        <v>536</v>
      </c>
      <c r="E90" s="35">
        <f>INDEX(I90:AC90,1,$E$2)/10*ProjectScaleScalar</f>
        <v>0</v>
      </c>
      <c r="F90" s="398"/>
      <c r="G90" s="398"/>
      <c r="H90" s="398"/>
      <c r="I90" s="326">
        <v>3</v>
      </c>
      <c r="J90" s="326"/>
      <c r="K90" s="326">
        <v>2</v>
      </c>
      <c r="L90" s="326">
        <v>2</v>
      </c>
      <c r="M90" s="326">
        <v>3</v>
      </c>
      <c r="N90" s="326">
        <v>3</v>
      </c>
      <c r="O90" s="326"/>
      <c r="P90" s="326"/>
      <c r="Q90" s="326">
        <v>4</v>
      </c>
      <c r="R90" s="326">
        <v>4</v>
      </c>
      <c r="S90" s="326">
        <v>1</v>
      </c>
      <c r="T90" s="326">
        <v>7</v>
      </c>
      <c r="U90" s="326">
        <v>1</v>
      </c>
      <c r="V90" s="326">
        <v>6</v>
      </c>
      <c r="W90" s="326">
        <v>10</v>
      </c>
      <c r="X90" s="326">
        <v>4</v>
      </c>
      <c r="Y90" s="326">
        <v>3</v>
      </c>
      <c r="Z90" s="326">
        <v>5</v>
      </c>
      <c r="AA90" s="326">
        <v>0</v>
      </c>
      <c r="AB90" s="326">
        <v>5</v>
      </c>
      <c r="AC90" s="326">
        <v>10</v>
      </c>
      <c r="AD90" s="398"/>
      <c r="AE90" s="398"/>
      <c r="AF90" s="398"/>
      <c r="AG90" s="398"/>
      <c r="AH90" s="398"/>
      <c r="AI90" s="398"/>
    </row>
    <row r="91" spans="1:35" s="21" customFormat="1" ht="25.5">
      <c r="A91" s="398"/>
      <c r="B91" s="398"/>
      <c r="C91" s="398"/>
      <c r="D91" s="696" t="s">
        <v>542</v>
      </c>
      <c r="E91" s="35">
        <f>INDEX(I91:AC91,1,$E$2)/10*ProjectScaleScalar</f>
        <v>0</v>
      </c>
      <c r="F91" s="398"/>
      <c r="G91" s="398"/>
      <c r="H91" s="398"/>
      <c r="I91" s="326"/>
      <c r="J91" s="326"/>
      <c r="K91" s="326"/>
      <c r="L91" s="326">
        <v>1</v>
      </c>
      <c r="M91" s="326"/>
      <c r="N91" s="326"/>
      <c r="O91" s="326"/>
      <c r="P91" s="326"/>
      <c r="Q91" s="326">
        <v>4</v>
      </c>
      <c r="R91" s="326">
        <v>10</v>
      </c>
      <c r="S91" s="326">
        <v>3</v>
      </c>
      <c r="T91" s="326">
        <v>1</v>
      </c>
      <c r="U91" s="326"/>
      <c r="V91" s="326"/>
      <c r="W91" s="326"/>
      <c r="X91" s="326"/>
      <c r="Y91" s="326"/>
      <c r="Z91" s="326"/>
      <c r="AA91" s="326">
        <v>0</v>
      </c>
      <c r="AB91" s="326">
        <v>5</v>
      </c>
      <c r="AC91" s="326">
        <v>10</v>
      </c>
      <c r="AD91" s="398"/>
      <c r="AE91" s="398"/>
      <c r="AF91" s="398"/>
      <c r="AG91" s="398"/>
      <c r="AH91" s="398"/>
      <c r="AI91" s="398"/>
    </row>
    <row r="92" spans="1:35" s="21" customFormat="1" ht="13.5">
      <c r="A92" s="398"/>
      <c r="B92" s="398"/>
      <c r="C92" s="398"/>
      <c r="D92" s="696" t="s">
        <v>546</v>
      </c>
      <c r="E92" s="35">
        <f>INDEX(I92:AC92,1,$E$2)/10*ProjectScaleScalar</f>
        <v>0.05</v>
      </c>
      <c r="F92" s="398"/>
      <c r="G92" s="398"/>
      <c r="H92" s="398"/>
      <c r="I92" s="326">
        <v>2</v>
      </c>
      <c r="J92" s="326">
        <v>2</v>
      </c>
      <c r="K92" s="326">
        <v>1</v>
      </c>
      <c r="L92" s="326">
        <v>2</v>
      </c>
      <c r="M92" s="326">
        <v>2</v>
      </c>
      <c r="N92" s="326">
        <v>5</v>
      </c>
      <c r="O92" s="326"/>
      <c r="P92" s="326"/>
      <c r="Q92" s="326">
        <v>3</v>
      </c>
      <c r="R92" s="326">
        <v>2</v>
      </c>
      <c r="S92" s="326"/>
      <c r="T92" s="326">
        <v>1</v>
      </c>
      <c r="U92" s="326"/>
      <c r="V92" s="326">
        <v>2</v>
      </c>
      <c r="W92" s="326">
        <v>2</v>
      </c>
      <c r="X92" s="326">
        <v>10</v>
      </c>
      <c r="Y92" s="326">
        <v>1</v>
      </c>
      <c r="Z92" s="326">
        <v>1</v>
      </c>
      <c r="AA92" s="326">
        <v>0</v>
      </c>
      <c r="AB92" s="326">
        <v>5</v>
      </c>
      <c r="AC92" s="326">
        <v>10</v>
      </c>
      <c r="AD92" s="398"/>
      <c r="AE92" s="398"/>
      <c r="AF92" s="398"/>
      <c r="AG92" s="398"/>
      <c r="AH92" s="398"/>
      <c r="AI92" s="398"/>
    </row>
    <row r="93" spans="1:35" s="21" customFormat="1" ht="13.5">
      <c r="A93" s="398"/>
      <c r="B93" s="398"/>
      <c r="C93" s="398"/>
      <c r="D93" s="696" t="s">
        <v>252</v>
      </c>
      <c r="E93" s="35">
        <f>INDEX(I93:AC93,1,$E$2)/10*ProjectScaleScalar</f>
        <v>0</v>
      </c>
      <c r="F93" s="398"/>
      <c r="G93" s="398"/>
      <c r="H93" s="398"/>
      <c r="I93" s="326"/>
      <c r="J93" s="326"/>
      <c r="K93" s="326"/>
      <c r="L93" s="326"/>
      <c r="M93" s="326"/>
      <c r="N93" s="326"/>
      <c r="O93" s="326"/>
      <c r="P93" s="326"/>
      <c r="Q93" s="326"/>
      <c r="R93" s="326">
        <v>10</v>
      </c>
      <c r="S93" s="326"/>
      <c r="T93" s="326">
        <v>5</v>
      </c>
      <c r="U93" s="326"/>
      <c r="V93" s="326"/>
      <c r="W93" s="326"/>
      <c r="X93" s="326"/>
      <c r="Y93" s="326"/>
      <c r="Z93" s="326"/>
      <c r="AA93" s="326">
        <v>0</v>
      </c>
      <c r="AB93" s="326">
        <v>5</v>
      </c>
      <c r="AC93" s="326">
        <v>10</v>
      </c>
      <c r="AD93" s="398"/>
      <c r="AE93" s="398"/>
      <c r="AF93" s="398"/>
      <c r="AG93" s="398"/>
      <c r="AH93" s="398"/>
      <c r="AI93" s="398"/>
    </row>
    <row r="94" spans="1:35" s="28" customFormat="1">
      <c r="A94" s="398"/>
      <c r="B94" s="398"/>
      <c r="C94" s="398"/>
      <c r="D94" s="38" t="s">
        <v>259</v>
      </c>
      <c r="E94" s="398"/>
      <c r="F94" s="398"/>
      <c r="G94" s="398"/>
      <c r="H94" s="398"/>
      <c r="I94" s="274"/>
      <c r="J94" s="274"/>
      <c r="K94" s="274"/>
      <c r="L94" s="274"/>
      <c r="M94" s="274"/>
      <c r="N94" s="274"/>
      <c r="O94" s="274"/>
      <c r="P94" s="274"/>
      <c r="Q94" s="274"/>
      <c r="R94" s="274"/>
      <c r="S94" s="274"/>
      <c r="T94" s="274"/>
      <c r="U94" s="274"/>
      <c r="V94" s="274"/>
      <c r="W94" s="274"/>
      <c r="X94" s="274"/>
      <c r="Y94" s="274"/>
      <c r="Z94" s="274"/>
      <c r="AA94" s="274"/>
      <c r="AB94" s="274"/>
      <c r="AC94" s="274"/>
      <c r="AD94" s="398"/>
      <c r="AE94" s="398"/>
      <c r="AF94" s="398"/>
      <c r="AG94" s="398"/>
      <c r="AH94" s="398"/>
      <c r="AI94" s="398"/>
    </row>
    <row r="95" spans="1:35" s="21" customFormat="1" ht="15">
      <c r="A95" s="398"/>
      <c r="B95" s="6"/>
      <c r="C95" s="8" t="s">
        <v>513</v>
      </c>
      <c r="D95" s="398"/>
      <c r="E95" s="398"/>
      <c r="F95" s="398"/>
      <c r="G95" s="398"/>
      <c r="H95" s="398"/>
      <c r="I95" s="274"/>
      <c r="J95" s="274"/>
      <c r="K95" s="274"/>
      <c r="L95" s="274"/>
      <c r="M95" s="274"/>
      <c r="N95" s="274"/>
      <c r="O95" s="274"/>
      <c r="P95" s="274"/>
      <c r="Q95" s="274"/>
      <c r="R95" s="274"/>
      <c r="S95" s="274"/>
      <c r="T95" s="274"/>
      <c r="U95" s="274"/>
      <c r="V95" s="274"/>
      <c r="W95" s="274"/>
      <c r="X95" s="274"/>
      <c r="Y95" s="274"/>
      <c r="Z95" s="274"/>
      <c r="AA95" s="274"/>
      <c r="AB95" s="274"/>
      <c r="AC95" s="274"/>
      <c r="AD95" s="398"/>
      <c r="AE95" s="398"/>
      <c r="AF95" s="398"/>
      <c r="AG95" s="398"/>
      <c r="AH95" s="398"/>
      <c r="AI95" s="398"/>
    </row>
    <row r="96" spans="1:35" s="21" customFormat="1" ht="12.75" customHeight="1">
      <c r="A96" s="398"/>
      <c r="B96" s="398"/>
      <c r="C96" s="398"/>
      <c r="D96" s="696" t="s">
        <v>551</v>
      </c>
      <c r="E96" s="35">
        <f>INDEX(I96:AC96,1,$E$2)/10*ProjectScaleScalar</f>
        <v>0</v>
      </c>
      <c r="F96" s="398"/>
      <c r="G96" s="398"/>
      <c r="H96" s="398"/>
      <c r="I96" s="326"/>
      <c r="J96" s="326"/>
      <c r="K96" s="326">
        <v>1</v>
      </c>
      <c r="L96" s="326"/>
      <c r="M96" s="326"/>
      <c r="N96" s="326"/>
      <c r="O96" s="326"/>
      <c r="P96" s="326"/>
      <c r="Q96" s="326">
        <v>1</v>
      </c>
      <c r="R96" s="326">
        <v>7</v>
      </c>
      <c r="S96" s="326">
        <v>10</v>
      </c>
      <c r="T96" s="326">
        <v>3</v>
      </c>
      <c r="U96" s="326"/>
      <c r="V96" s="326"/>
      <c r="W96" s="326">
        <v>2</v>
      </c>
      <c r="X96" s="326"/>
      <c r="Y96" s="326">
        <v>2</v>
      </c>
      <c r="Z96" s="326"/>
      <c r="AA96" s="326">
        <v>0</v>
      </c>
      <c r="AB96" s="326">
        <v>5</v>
      </c>
      <c r="AC96" s="326">
        <v>10</v>
      </c>
      <c r="AD96" s="398"/>
      <c r="AE96" s="398"/>
      <c r="AF96" s="398"/>
      <c r="AG96" s="398"/>
      <c r="AH96" s="398"/>
      <c r="AI96" s="398"/>
    </row>
    <row r="97" spans="1:35" s="21" customFormat="1" ht="12.75" customHeight="1">
      <c r="A97" s="398"/>
      <c r="B97" s="398"/>
      <c r="C97" s="398"/>
      <c r="D97" s="696" t="s">
        <v>555</v>
      </c>
      <c r="E97" s="35">
        <f>INDEX(I97:AC97,1,$E$2)/10*ProjectScaleScalar</f>
        <v>0</v>
      </c>
      <c r="F97" s="398"/>
      <c r="G97" s="398"/>
      <c r="H97" s="398"/>
      <c r="I97" s="326"/>
      <c r="J97" s="326"/>
      <c r="K97" s="326"/>
      <c r="L97" s="326"/>
      <c r="M97" s="326"/>
      <c r="N97" s="326">
        <v>2</v>
      </c>
      <c r="O97" s="326"/>
      <c r="P97" s="326"/>
      <c r="Q97" s="326">
        <v>2</v>
      </c>
      <c r="R97" s="326">
        <v>5</v>
      </c>
      <c r="S97" s="326">
        <v>7</v>
      </c>
      <c r="T97" s="326">
        <v>4</v>
      </c>
      <c r="U97" s="326">
        <v>2</v>
      </c>
      <c r="V97" s="326">
        <v>10</v>
      </c>
      <c r="W97" s="326">
        <v>5</v>
      </c>
      <c r="X97" s="326">
        <v>4</v>
      </c>
      <c r="Y97" s="326">
        <v>2</v>
      </c>
      <c r="Z97" s="326">
        <v>3</v>
      </c>
      <c r="AA97" s="326">
        <v>0</v>
      </c>
      <c r="AB97" s="326">
        <v>5</v>
      </c>
      <c r="AC97" s="326">
        <v>10</v>
      </c>
      <c r="AD97" s="398"/>
      <c r="AE97" s="398"/>
      <c r="AF97" s="398"/>
      <c r="AG97" s="398"/>
      <c r="AH97" s="398"/>
      <c r="AI97" s="398"/>
    </row>
    <row r="98" spans="1:35" s="21" customFormat="1" ht="12.75" customHeight="1">
      <c r="A98" s="398"/>
      <c r="B98" s="398"/>
      <c r="C98" s="398"/>
      <c r="D98" s="696" t="s">
        <v>558</v>
      </c>
      <c r="E98" s="35">
        <f>INDEX(I98:AC98,1,$E$2)/10*ProjectScaleScalar</f>
        <v>0</v>
      </c>
      <c r="F98" s="398"/>
      <c r="G98" s="398"/>
      <c r="H98" s="398"/>
      <c r="I98" s="326"/>
      <c r="J98" s="326"/>
      <c r="K98" s="326"/>
      <c r="L98" s="326"/>
      <c r="M98" s="326"/>
      <c r="N98" s="326"/>
      <c r="O98" s="326">
        <v>5</v>
      </c>
      <c r="P98" s="326"/>
      <c r="Q98" s="326">
        <v>4</v>
      </c>
      <c r="R98" s="326">
        <v>6</v>
      </c>
      <c r="S98" s="326">
        <v>8</v>
      </c>
      <c r="T98" s="326">
        <v>4</v>
      </c>
      <c r="U98" s="326"/>
      <c r="V98" s="326">
        <v>4</v>
      </c>
      <c r="W98" s="326">
        <v>1</v>
      </c>
      <c r="X98" s="326">
        <v>2</v>
      </c>
      <c r="Y98" s="326">
        <v>2</v>
      </c>
      <c r="Z98" s="326">
        <v>3</v>
      </c>
      <c r="AA98" s="326">
        <v>0</v>
      </c>
      <c r="AB98" s="326">
        <v>5</v>
      </c>
      <c r="AC98" s="326">
        <v>10</v>
      </c>
      <c r="AD98" s="398"/>
      <c r="AE98" s="398"/>
      <c r="AF98" s="398"/>
      <c r="AG98" s="398"/>
      <c r="AH98" s="398"/>
      <c r="AI98" s="398"/>
    </row>
    <row r="99" spans="1:35" s="21" customFormat="1" ht="12.75" customHeight="1">
      <c r="A99" s="398"/>
      <c r="B99" s="398"/>
      <c r="C99" s="398"/>
      <c r="D99" s="696" t="s">
        <v>252</v>
      </c>
      <c r="E99" s="35">
        <f>INDEX(I99:AC99,1,$E$2)/10*ProjectScaleScalar</f>
        <v>0</v>
      </c>
      <c r="F99" s="398"/>
      <c r="G99" s="398"/>
      <c r="H99" s="398"/>
      <c r="I99" s="326"/>
      <c r="J99" s="326"/>
      <c r="K99" s="326"/>
      <c r="L99" s="326"/>
      <c r="M99" s="326"/>
      <c r="N99" s="326"/>
      <c r="O99" s="326"/>
      <c r="P99" s="326"/>
      <c r="Q99" s="326">
        <v>2</v>
      </c>
      <c r="R99" s="326">
        <v>7</v>
      </c>
      <c r="S99" s="326">
        <v>6</v>
      </c>
      <c r="T99" s="326">
        <v>2</v>
      </c>
      <c r="U99" s="326"/>
      <c r="V99" s="326">
        <v>2</v>
      </c>
      <c r="W99" s="326">
        <v>10</v>
      </c>
      <c r="X99" s="326"/>
      <c r="Y99" s="326">
        <v>1</v>
      </c>
      <c r="Z99" s="326">
        <v>2</v>
      </c>
      <c r="AA99" s="326">
        <v>0</v>
      </c>
      <c r="AB99" s="326">
        <v>5</v>
      </c>
      <c r="AC99" s="326">
        <v>10</v>
      </c>
      <c r="AD99" s="398"/>
      <c r="AE99" s="398"/>
      <c r="AF99" s="398"/>
      <c r="AG99" s="398"/>
      <c r="AH99" s="398"/>
      <c r="AI99" s="398"/>
    </row>
    <row r="100" spans="1:35" s="28" customFormat="1" ht="12.75" customHeight="1">
      <c r="A100" s="398"/>
      <c r="B100" s="398"/>
      <c r="C100" s="398"/>
      <c r="D100" s="38" t="s">
        <v>259</v>
      </c>
      <c r="E100" s="398"/>
      <c r="F100" s="398"/>
      <c r="G100" s="398"/>
      <c r="H100" s="398"/>
      <c r="I100" s="274"/>
      <c r="J100" s="274"/>
      <c r="K100" s="274"/>
      <c r="L100" s="274"/>
      <c r="M100" s="274"/>
      <c r="N100" s="274"/>
      <c r="O100" s="274"/>
      <c r="P100" s="274"/>
      <c r="Q100" s="274"/>
      <c r="R100" s="274"/>
      <c r="S100" s="274"/>
      <c r="T100" s="274"/>
      <c r="U100" s="274"/>
      <c r="V100" s="274"/>
      <c r="W100" s="274"/>
      <c r="X100" s="274"/>
      <c r="Y100" s="274"/>
      <c r="Z100" s="274"/>
      <c r="AA100" s="274"/>
      <c r="AB100" s="274"/>
      <c r="AC100" s="274"/>
      <c r="AD100" s="398"/>
      <c r="AE100" s="398"/>
      <c r="AF100" s="398"/>
      <c r="AG100" s="398"/>
      <c r="AH100" s="398"/>
      <c r="AI100" s="398"/>
    </row>
    <row r="101" spans="1:35" s="21" customFormat="1" ht="15">
      <c r="A101" s="398"/>
      <c r="B101" s="6"/>
      <c r="C101" s="8" t="s">
        <v>514</v>
      </c>
      <c r="D101" s="398"/>
      <c r="E101" s="398"/>
      <c r="F101" s="398"/>
      <c r="G101" s="398"/>
      <c r="H101" s="398"/>
      <c r="I101" s="274"/>
      <c r="J101" s="274"/>
      <c r="K101" s="274"/>
      <c r="L101" s="274"/>
      <c r="M101" s="274"/>
      <c r="N101" s="274"/>
      <c r="O101" s="274"/>
      <c r="P101" s="274"/>
      <c r="Q101" s="274"/>
      <c r="R101" s="274"/>
      <c r="S101" s="274"/>
      <c r="T101" s="274"/>
      <c r="U101" s="274"/>
      <c r="V101" s="274"/>
      <c r="W101" s="274"/>
      <c r="X101" s="274"/>
      <c r="Y101" s="274"/>
      <c r="Z101" s="274"/>
      <c r="AA101" s="274"/>
      <c r="AB101" s="274"/>
      <c r="AC101" s="274"/>
      <c r="AD101" s="398"/>
      <c r="AE101" s="398"/>
      <c r="AF101" s="398"/>
      <c r="AG101" s="398"/>
      <c r="AH101" s="398"/>
      <c r="AI101" s="398"/>
    </row>
    <row r="102" spans="1:35" s="21" customFormat="1" ht="13.5">
      <c r="A102" s="398"/>
      <c r="B102" s="398"/>
      <c r="C102" s="398"/>
      <c r="D102" s="696" t="s">
        <v>563</v>
      </c>
      <c r="E102" s="35">
        <f t="shared" ref="E102:E107" si="3">INDEX(I102:AC102,1,$E$2)/10*ProjectScaleScalar</f>
        <v>0.1</v>
      </c>
      <c r="F102" s="398"/>
      <c r="G102" s="398"/>
      <c r="H102" s="398"/>
      <c r="I102" s="326">
        <v>5</v>
      </c>
      <c r="J102" s="326">
        <v>4</v>
      </c>
      <c r="K102" s="326">
        <v>6</v>
      </c>
      <c r="L102" s="326">
        <v>2</v>
      </c>
      <c r="M102" s="326">
        <v>5</v>
      </c>
      <c r="N102" s="326">
        <v>7</v>
      </c>
      <c r="O102" s="326">
        <v>10</v>
      </c>
      <c r="P102" s="326">
        <v>2</v>
      </c>
      <c r="Q102" s="326">
        <v>1</v>
      </c>
      <c r="R102" s="326">
        <v>3</v>
      </c>
      <c r="S102" s="326">
        <v>1</v>
      </c>
      <c r="T102" s="326"/>
      <c r="U102" s="326"/>
      <c r="V102" s="326"/>
      <c r="W102" s="326"/>
      <c r="X102" s="326"/>
      <c r="Y102" s="326"/>
      <c r="Z102" s="326"/>
      <c r="AA102" s="326">
        <v>0</v>
      </c>
      <c r="AB102" s="326">
        <v>5</v>
      </c>
      <c r="AC102" s="326">
        <v>10</v>
      </c>
      <c r="AD102" s="398"/>
      <c r="AE102" s="398"/>
      <c r="AF102" s="398"/>
      <c r="AG102" s="398"/>
      <c r="AH102" s="398"/>
      <c r="AI102" s="398"/>
    </row>
    <row r="103" spans="1:35" s="21" customFormat="1" ht="13.5">
      <c r="A103" s="398"/>
      <c r="B103" s="398"/>
      <c r="C103" s="398"/>
      <c r="D103" s="696" t="s">
        <v>569</v>
      </c>
      <c r="E103" s="35">
        <f t="shared" si="3"/>
        <v>0.1</v>
      </c>
      <c r="F103" s="398"/>
      <c r="G103" s="398"/>
      <c r="H103" s="398"/>
      <c r="I103" s="326">
        <v>10</v>
      </c>
      <c r="J103" s="326">
        <v>4</v>
      </c>
      <c r="K103" s="326">
        <v>7</v>
      </c>
      <c r="L103" s="326">
        <v>4</v>
      </c>
      <c r="M103" s="326"/>
      <c r="N103" s="326">
        <v>2</v>
      </c>
      <c r="O103" s="326">
        <v>2</v>
      </c>
      <c r="P103" s="326">
        <v>2</v>
      </c>
      <c r="Q103" s="326">
        <v>4</v>
      </c>
      <c r="R103" s="326"/>
      <c r="S103" s="326"/>
      <c r="T103" s="326"/>
      <c r="U103" s="326"/>
      <c r="V103" s="326"/>
      <c r="W103" s="326"/>
      <c r="X103" s="326"/>
      <c r="Y103" s="326"/>
      <c r="Z103" s="326"/>
      <c r="AA103" s="326">
        <v>0</v>
      </c>
      <c r="AB103" s="326">
        <v>5</v>
      </c>
      <c r="AC103" s="326">
        <v>10</v>
      </c>
      <c r="AD103" s="398"/>
      <c r="AE103" s="398"/>
      <c r="AF103" s="398"/>
      <c r="AG103" s="398"/>
      <c r="AH103" s="398"/>
      <c r="AI103" s="398"/>
    </row>
    <row r="104" spans="1:35" s="21" customFormat="1" ht="13.5">
      <c r="A104" s="398"/>
      <c r="B104" s="398"/>
      <c r="C104" s="398"/>
      <c r="D104" s="696" t="s">
        <v>573</v>
      </c>
      <c r="E104" s="35">
        <f t="shared" si="3"/>
        <v>7.4999999999999997E-2</v>
      </c>
      <c r="F104" s="398"/>
      <c r="G104" s="398"/>
      <c r="H104" s="398"/>
      <c r="I104" s="326">
        <v>4</v>
      </c>
      <c r="J104" s="326">
        <v>3</v>
      </c>
      <c r="K104" s="326">
        <v>7</v>
      </c>
      <c r="L104" s="326">
        <v>2</v>
      </c>
      <c r="M104" s="326">
        <v>3</v>
      </c>
      <c r="N104" s="326">
        <v>2</v>
      </c>
      <c r="O104" s="326"/>
      <c r="P104" s="326">
        <v>1</v>
      </c>
      <c r="Q104" s="326">
        <v>10</v>
      </c>
      <c r="R104" s="326">
        <v>1</v>
      </c>
      <c r="S104" s="326">
        <v>4</v>
      </c>
      <c r="T104" s="326">
        <v>1</v>
      </c>
      <c r="U104" s="326"/>
      <c r="V104" s="326">
        <v>1</v>
      </c>
      <c r="W104" s="326">
        <v>1</v>
      </c>
      <c r="X104" s="326"/>
      <c r="Y104" s="326"/>
      <c r="Z104" s="326"/>
      <c r="AA104" s="326">
        <v>0</v>
      </c>
      <c r="AB104" s="326">
        <v>5</v>
      </c>
      <c r="AC104" s="326">
        <v>10</v>
      </c>
      <c r="AD104" s="398"/>
      <c r="AE104" s="398"/>
      <c r="AF104" s="398"/>
      <c r="AG104" s="398"/>
      <c r="AH104" s="398"/>
      <c r="AI104" s="398"/>
    </row>
    <row r="105" spans="1:35" s="21" customFormat="1" ht="13.5">
      <c r="A105" s="398"/>
      <c r="B105" s="398"/>
      <c r="C105" s="398"/>
      <c r="D105" s="696" t="s">
        <v>578</v>
      </c>
      <c r="E105" s="35">
        <f t="shared" si="3"/>
        <v>0.125</v>
      </c>
      <c r="F105" s="398"/>
      <c r="G105" s="398"/>
      <c r="H105" s="398"/>
      <c r="I105" s="326">
        <v>7</v>
      </c>
      <c r="J105" s="326">
        <v>5</v>
      </c>
      <c r="K105" s="326">
        <v>5</v>
      </c>
      <c r="L105" s="326">
        <v>1</v>
      </c>
      <c r="M105" s="326">
        <v>10</v>
      </c>
      <c r="N105" s="326">
        <v>3</v>
      </c>
      <c r="O105" s="326">
        <v>8</v>
      </c>
      <c r="P105" s="326"/>
      <c r="Q105" s="326"/>
      <c r="R105" s="326">
        <v>2</v>
      </c>
      <c r="S105" s="326"/>
      <c r="T105" s="326">
        <v>1</v>
      </c>
      <c r="U105" s="326"/>
      <c r="V105" s="326"/>
      <c r="W105" s="326"/>
      <c r="X105" s="326"/>
      <c r="Y105" s="326"/>
      <c r="Z105" s="326"/>
      <c r="AA105" s="326">
        <v>0</v>
      </c>
      <c r="AB105" s="326">
        <v>5</v>
      </c>
      <c r="AC105" s="326">
        <v>10</v>
      </c>
      <c r="AD105" s="398"/>
      <c r="AE105" s="398"/>
      <c r="AF105" s="398"/>
      <c r="AG105" s="398"/>
      <c r="AH105" s="398"/>
      <c r="AI105" s="398"/>
    </row>
    <row r="106" spans="1:35" s="21" customFormat="1" ht="13.5">
      <c r="A106" s="398"/>
      <c r="B106" s="398"/>
      <c r="C106" s="398"/>
      <c r="D106" s="696" t="s">
        <v>582</v>
      </c>
      <c r="E106" s="35">
        <f t="shared" si="3"/>
        <v>0</v>
      </c>
      <c r="F106" s="398"/>
      <c r="G106" s="398"/>
      <c r="H106" s="398"/>
      <c r="I106" s="326">
        <v>7</v>
      </c>
      <c r="J106" s="326"/>
      <c r="K106" s="326"/>
      <c r="L106" s="326"/>
      <c r="M106" s="326"/>
      <c r="N106" s="326">
        <v>10</v>
      </c>
      <c r="O106" s="326"/>
      <c r="P106" s="326"/>
      <c r="Q106" s="326"/>
      <c r="R106" s="326">
        <v>4</v>
      </c>
      <c r="S106" s="326"/>
      <c r="T106" s="326"/>
      <c r="U106" s="326"/>
      <c r="V106" s="326"/>
      <c r="W106" s="326"/>
      <c r="X106" s="326"/>
      <c r="Y106" s="326"/>
      <c r="Z106" s="326">
        <v>2</v>
      </c>
      <c r="AA106" s="326">
        <v>0</v>
      </c>
      <c r="AB106" s="326">
        <v>5</v>
      </c>
      <c r="AC106" s="326">
        <v>10</v>
      </c>
      <c r="AD106" s="398"/>
      <c r="AE106" s="398"/>
      <c r="AF106" s="398"/>
      <c r="AG106" s="398"/>
      <c r="AH106" s="398"/>
      <c r="AI106" s="398"/>
    </row>
    <row r="107" spans="1:35" s="21" customFormat="1" ht="13.5">
      <c r="A107" s="398"/>
      <c r="B107" s="398"/>
      <c r="C107" s="398"/>
      <c r="D107" s="696" t="s">
        <v>585</v>
      </c>
      <c r="E107" s="35">
        <f t="shared" si="3"/>
        <v>0.17499999999999999</v>
      </c>
      <c r="F107" s="398"/>
      <c r="G107" s="398"/>
      <c r="H107" s="398"/>
      <c r="I107" s="326">
        <v>10</v>
      </c>
      <c r="J107" s="326">
        <v>7</v>
      </c>
      <c r="K107" s="326">
        <v>5</v>
      </c>
      <c r="L107" s="326">
        <v>2</v>
      </c>
      <c r="M107" s="326">
        <v>4</v>
      </c>
      <c r="N107" s="326">
        <v>3</v>
      </c>
      <c r="O107" s="326">
        <v>2</v>
      </c>
      <c r="P107" s="326">
        <v>2</v>
      </c>
      <c r="Q107" s="326">
        <v>4</v>
      </c>
      <c r="R107" s="326"/>
      <c r="S107" s="326">
        <v>2</v>
      </c>
      <c r="T107" s="326"/>
      <c r="U107" s="326"/>
      <c r="V107" s="326"/>
      <c r="W107" s="326"/>
      <c r="X107" s="326"/>
      <c r="Y107" s="326"/>
      <c r="Z107" s="326"/>
      <c r="AA107" s="326">
        <v>0</v>
      </c>
      <c r="AB107" s="326">
        <v>5</v>
      </c>
      <c r="AC107" s="326">
        <v>10</v>
      </c>
      <c r="AD107" s="398"/>
      <c r="AE107" s="398"/>
      <c r="AF107" s="398"/>
      <c r="AG107" s="398"/>
      <c r="AH107" s="398"/>
      <c r="AI107" s="398"/>
    </row>
    <row r="108" spans="1:35" s="28" customFormat="1">
      <c r="A108" s="398"/>
      <c r="B108" s="398"/>
      <c r="C108" s="398"/>
      <c r="D108" s="38" t="s">
        <v>259</v>
      </c>
      <c r="E108" s="398"/>
      <c r="F108" s="398"/>
      <c r="G108" s="398"/>
      <c r="H108" s="398"/>
      <c r="I108" s="274"/>
      <c r="J108" s="274"/>
      <c r="K108" s="274"/>
      <c r="L108" s="274"/>
      <c r="M108" s="274"/>
      <c r="N108" s="274"/>
      <c r="O108" s="274"/>
      <c r="P108" s="274"/>
      <c r="Q108" s="274"/>
      <c r="R108" s="274"/>
      <c r="S108" s="274"/>
      <c r="T108" s="274"/>
      <c r="U108" s="274"/>
      <c r="V108" s="274"/>
      <c r="W108" s="274"/>
      <c r="X108" s="274"/>
      <c r="Y108" s="274"/>
      <c r="Z108" s="274"/>
      <c r="AA108" s="274"/>
      <c r="AB108" s="274"/>
      <c r="AC108" s="274"/>
      <c r="AD108" s="398"/>
      <c r="AE108" s="398"/>
      <c r="AF108" s="398"/>
      <c r="AG108" s="398"/>
      <c r="AH108" s="398"/>
      <c r="AI108" s="398"/>
    </row>
    <row r="109" spans="1:35" s="28" customFormat="1" ht="6.75" customHeight="1">
      <c r="A109" s="398"/>
      <c r="B109" s="398"/>
      <c r="C109" s="398"/>
      <c r="D109" s="398"/>
      <c r="E109" s="398"/>
      <c r="F109" s="398"/>
      <c r="G109" s="398"/>
      <c r="H109" s="398"/>
      <c r="I109" s="274"/>
      <c r="J109" s="274"/>
      <c r="K109" s="274"/>
      <c r="L109" s="274"/>
      <c r="M109" s="274"/>
      <c r="N109" s="274"/>
      <c r="O109" s="274"/>
      <c r="P109" s="274"/>
      <c r="Q109" s="274"/>
      <c r="R109" s="274"/>
      <c r="S109" s="274"/>
      <c r="T109" s="274"/>
      <c r="U109" s="274"/>
      <c r="V109" s="274"/>
      <c r="W109" s="274"/>
      <c r="X109" s="274"/>
      <c r="Y109" s="274"/>
      <c r="Z109" s="274"/>
      <c r="AA109" s="274"/>
      <c r="AB109" s="274"/>
      <c r="AC109" s="274"/>
      <c r="AD109" s="398"/>
      <c r="AE109" s="398"/>
      <c r="AF109" s="398"/>
      <c r="AG109" s="398"/>
      <c r="AH109" s="398"/>
      <c r="AI109" s="398"/>
    </row>
    <row r="110" spans="1:35" s="28" customFormat="1">
      <c r="A110" s="398"/>
      <c r="B110" s="398"/>
      <c r="C110" s="204"/>
      <c r="D110" s="39" t="s">
        <v>1209</v>
      </c>
      <c r="E110" s="398"/>
      <c r="F110" s="398"/>
      <c r="G110" s="398"/>
      <c r="H110" s="398"/>
      <c r="I110" s="274"/>
      <c r="J110" s="274"/>
      <c r="K110" s="274"/>
      <c r="L110" s="274"/>
      <c r="M110" s="274"/>
      <c r="N110" s="274"/>
      <c r="O110" s="274"/>
      <c r="P110" s="274"/>
      <c r="Q110" s="274"/>
      <c r="R110" s="274"/>
      <c r="S110" s="274"/>
      <c r="T110" s="274"/>
      <c r="U110" s="274"/>
      <c r="V110" s="274"/>
      <c r="W110" s="274"/>
      <c r="X110" s="274"/>
      <c r="Y110" s="274"/>
      <c r="Z110" s="274"/>
      <c r="AA110" s="274"/>
      <c r="AB110" s="274"/>
      <c r="AC110" s="274"/>
      <c r="AD110" s="398"/>
      <c r="AE110" s="398"/>
      <c r="AF110" s="398"/>
      <c r="AG110" s="398"/>
      <c r="AH110" s="398"/>
      <c r="AI110" s="398"/>
    </row>
    <row r="111" spans="1:35" s="28" customFormat="1" ht="6.75" customHeight="1">
      <c r="A111" s="398"/>
      <c r="B111" s="398"/>
      <c r="C111" s="398"/>
      <c r="D111" s="398"/>
      <c r="E111" s="398"/>
      <c r="F111" s="398"/>
      <c r="G111" s="398"/>
      <c r="H111" s="398"/>
      <c r="I111" s="274"/>
      <c r="J111" s="274"/>
      <c r="K111" s="274"/>
      <c r="L111" s="274"/>
      <c r="M111" s="274"/>
      <c r="N111" s="274"/>
      <c r="O111" s="274"/>
      <c r="P111" s="274"/>
      <c r="Q111" s="274"/>
      <c r="R111" s="274"/>
      <c r="S111" s="274"/>
      <c r="T111" s="274"/>
      <c r="U111" s="274"/>
      <c r="V111" s="274"/>
      <c r="W111" s="274"/>
      <c r="X111" s="274"/>
      <c r="Y111" s="274"/>
      <c r="Z111" s="274"/>
      <c r="AA111" s="274"/>
      <c r="AB111" s="274"/>
      <c r="AC111" s="274"/>
      <c r="AD111" s="398"/>
      <c r="AE111" s="398"/>
      <c r="AF111" s="398"/>
      <c r="AG111" s="398"/>
      <c r="AH111" s="398"/>
      <c r="AI111" s="398"/>
    </row>
    <row r="112" spans="1:35" s="21" customFormat="1" ht="15">
      <c r="A112" s="398"/>
      <c r="B112" s="6" t="s">
        <v>809</v>
      </c>
      <c r="C112" s="6"/>
      <c r="D112" s="398"/>
      <c r="E112" s="398"/>
      <c r="F112" s="398"/>
      <c r="G112" s="398"/>
      <c r="H112" s="398"/>
      <c r="I112" s="274"/>
      <c r="J112" s="274"/>
      <c r="K112" s="274"/>
      <c r="L112" s="274"/>
      <c r="M112" s="274"/>
      <c r="N112" s="274"/>
      <c r="O112" s="274"/>
      <c r="P112" s="274"/>
      <c r="Q112" s="274"/>
      <c r="R112" s="274"/>
      <c r="S112" s="274"/>
      <c r="T112" s="274"/>
      <c r="U112" s="274"/>
      <c r="V112" s="274"/>
      <c r="W112" s="274"/>
      <c r="X112" s="274"/>
      <c r="Y112" s="274"/>
      <c r="Z112" s="274"/>
      <c r="AA112" s="274"/>
      <c r="AB112" s="274"/>
      <c r="AC112" s="274"/>
      <c r="AD112" s="398"/>
      <c r="AE112" s="398"/>
      <c r="AF112" s="398"/>
      <c r="AG112" s="398"/>
      <c r="AH112" s="398"/>
      <c r="AI112" s="398"/>
    </row>
    <row r="113" spans="1:35" s="21" customFormat="1" ht="13.5">
      <c r="A113" s="398"/>
      <c r="B113" s="398"/>
      <c r="C113" s="398"/>
      <c r="D113" s="696" t="s">
        <v>613</v>
      </c>
      <c r="E113" s="35">
        <f t="shared" ref="E113:E119" si="4">INDEX(I113:AC113,1,$E$2)/10*ProjectScaleScalar</f>
        <v>0</v>
      </c>
      <c r="F113" s="398"/>
      <c r="G113" s="398"/>
      <c r="H113" s="398"/>
      <c r="I113" s="326">
        <v>1.5</v>
      </c>
      <c r="J113" s="326"/>
      <c r="K113" s="326"/>
      <c r="L113" s="326"/>
      <c r="M113" s="326">
        <v>1</v>
      </c>
      <c r="N113" s="326"/>
      <c r="O113" s="326"/>
      <c r="P113" s="326"/>
      <c r="Q113" s="326">
        <v>2</v>
      </c>
      <c r="R113" s="326"/>
      <c r="S113" s="326">
        <v>2</v>
      </c>
      <c r="T113" s="326">
        <v>2</v>
      </c>
      <c r="U113" s="326">
        <v>3</v>
      </c>
      <c r="V113" s="326">
        <v>2</v>
      </c>
      <c r="W113" s="326">
        <v>2</v>
      </c>
      <c r="X113" s="326">
        <v>2</v>
      </c>
      <c r="Y113" s="326">
        <v>7</v>
      </c>
      <c r="Z113" s="326">
        <v>2</v>
      </c>
      <c r="AA113" s="326">
        <v>0</v>
      </c>
      <c r="AB113" s="326">
        <v>5</v>
      </c>
      <c r="AC113" s="326">
        <v>10</v>
      </c>
      <c r="AD113" s="398"/>
      <c r="AE113" s="398"/>
      <c r="AF113" s="398"/>
      <c r="AG113" s="398"/>
      <c r="AH113" s="398"/>
      <c r="AI113" s="398"/>
    </row>
    <row r="114" spans="1:35" s="21" customFormat="1" ht="13.5">
      <c r="A114" s="398"/>
      <c r="B114" s="398"/>
      <c r="C114" s="398"/>
      <c r="D114" s="696" t="s">
        <v>614</v>
      </c>
      <c r="E114" s="35">
        <f t="shared" si="4"/>
        <v>0</v>
      </c>
      <c r="F114" s="398"/>
      <c r="G114" s="398"/>
      <c r="H114" s="398"/>
      <c r="I114" s="326"/>
      <c r="J114" s="326"/>
      <c r="K114" s="326"/>
      <c r="L114" s="326"/>
      <c r="M114" s="326"/>
      <c r="N114" s="326"/>
      <c r="O114" s="326"/>
      <c r="P114" s="326"/>
      <c r="Q114" s="326"/>
      <c r="R114" s="326">
        <v>2</v>
      </c>
      <c r="S114" s="326"/>
      <c r="T114" s="326">
        <v>2</v>
      </c>
      <c r="U114" s="326">
        <v>2</v>
      </c>
      <c r="V114" s="326"/>
      <c r="W114" s="326">
        <v>3</v>
      </c>
      <c r="X114" s="326">
        <v>1</v>
      </c>
      <c r="Y114" s="326">
        <v>3</v>
      </c>
      <c r="Z114" s="326">
        <v>2</v>
      </c>
      <c r="AA114" s="326">
        <v>0</v>
      </c>
      <c r="AB114" s="326">
        <v>5</v>
      </c>
      <c r="AC114" s="326">
        <v>10</v>
      </c>
      <c r="AD114" s="398"/>
      <c r="AE114" s="398"/>
      <c r="AF114" s="398"/>
      <c r="AG114" s="398"/>
      <c r="AH114" s="398"/>
      <c r="AI114" s="398"/>
    </row>
    <row r="115" spans="1:35" s="21" customFormat="1" ht="13.5">
      <c r="A115" s="398"/>
      <c r="B115" s="398"/>
      <c r="C115" s="398"/>
      <c r="D115" s="696" t="s">
        <v>615</v>
      </c>
      <c r="E115" s="35">
        <f t="shared" si="4"/>
        <v>0</v>
      </c>
      <c r="F115" s="398"/>
      <c r="G115" s="398"/>
      <c r="H115" s="398"/>
      <c r="I115" s="326">
        <v>1</v>
      </c>
      <c r="J115" s="326"/>
      <c r="K115" s="326"/>
      <c r="L115" s="326"/>
      <c r="M115" s="326"/>
      <c r="N115" s="326"/>
      <c r="O115" s="326"/>
      <c r="P115" s="326">
        <v>1</v>
      </c>
      <c r="Q115" s="326"/>
      <c r="R115" s="326"/>
      <c r="S115" s="326"/>
      <c r="T115" s="326">
        <v>1</v>
      </c>
      <c r="U115" s="326">
        <v>2</v>
      </c>
      <c r="V115" s="326">
        <v>5</v>
      </c>
      <c r="W115" s="326">
        <v>2</v>
      </c>
      <c r="X115" s="326">
        <v>2</v>
      </c>
      <c r="Y115" s="326">
        <v>2</v>
      </c>
      <c r="Z115" s="326">
        <v>3</v>
      </c>
      <c r="AA115" s="326">
        <v>0</v>
      </c>
      <c r="AB115" s="326">
        <v>5</v>
      </c>
      <c r="AC115" s="326">
        <v>10</v>
      </c>
      <c r="AD115" s="398"/>
      <c r="AE115" s="398"/>
      <c r="AF115" s="398"/>
      <c r="AG115" s="398"/>
      <c r="AH115" s="398"/>
      <c r="AI115" s="398"/>
    </row>
    <row r="116" spans="1:35" s="21" customFormat="1" ht="13.5">
      <c r="A116" s="398"/>
      <c r="B116" s="398"/>
      <c r="C116" s="398"/>
      <c r="D116" s="696" t="s">
        <v>616</v>
      </c>
      <c r="E116" s="35">
        <f t="shared" si="4"/>
        <v>0</v>
      </c>
      <c r="F116" s="398"/>
      <c r="G116" s="398"/>
      <c r="H116" s="398"/>
      <c r="I116" s="326"/>
      <c r="J116" s="326"/>
      <c r="K116" s="326"/>
      <c r="L116" s="326"/>
      <c r="M116" s="326"/>
      <c r="N116" s="326"/>
      <c r="O116" s="326"/>
      <c r="P116" s="326"/>
      <c r="Q116" s="326"/>
      <c r="R116" s="326"/>
      <c r="S116" s="326">
        <v>1</v>
      </c>
      <c r="T116" s="326">
        <v>2</v>
      </c>
      <c r="U116" s="326">
        <v>7</v>
      </c>
      <c r="V116" s="326">
        <v>1</v>
      </c>
      <c r="W116" s="326">
        <v>2</v>
      </c>
      <c r="X116" s="326">
        <v>2</v>
      </c>
      <c r="Y116" s="326">
        <v>2</v>
      </c>
      <c r="Z116" s="326">
        <v>2</v>
      </c>
      <c r="AA116" s="326">
        <v>0</v>
      </c>
      <c r="AB116" s="326">
        <v>5</v>
      </c>
      <c r="AC116" s="326">
        <v>10</v>
      </c>
      <c r="AD116" s="398"/>
      <c r="AE116" s="398"/>
      <c r="AF116" s="398"/>
      <c r="AG116" s="398"/>
      <c r="AH116" s="398"/>
      <c r="AI116" s="398"/>
    </row>
    <row r="117" spans="1:35" s="21" customFormat="1" ht="13.5">
      <c r="A117" s="398"/>
      <c r="B117" s="398"/>
      <c r="C117" s="398"/>
      <c r="D117" s="696" t="s">
        <v>617</v>
      </c>
      <c r="E117" s="35">
        <f t="shared" si="4"/>
        <v>0</v>
      </c>
      <c r="F117" s="398"/>
      <c r="G117" s="398"/>
      <c r="H117" s="398"/>
      <c r="I117" s="326"/>
      <c r="J117" s="326"/>
      <c r="K117" s="326"/>
      <c r="L117" s="326"/>
      <c r="M117" s="326"/>
      <c r="N117" s="326">
        <v>2</v>
      </c>
      <c r="O117" s="326"/>
      <c r="P117" s="326"/>
      <c r="Q117" s="326"/>
      <c r="R117" s="326">
        <v>2</v>
      </c>
      <c r="S117" s="326">
        <v>5</v>
      </c>
      <c r="T117" s="326">
        <v>4</v>
      </c>
      <c r="U117" s="326">
        <v>4</v>
      </c>
      <c r="V117" s="326">
        <v>3</v>
      </c>
      <c r="W117" s="326">
        <v>3</v>
      </c>
      <c r="X117" s="326">
        <v>2</v>
      </c>
      <c r="Y117" s="326">
        <v>3</v>
      </c>
      <c r="Z117" s="326">
        <v>2</v>
      </c>
      <c r="AA117" s="326">
        <v>0</v>
      </c>
      <c r="AB117" s="326">
        <v>5</v>
      </c>
      <c r="AC117" s="326">
        <v>10</v>
      </c>
      <c r="AD117" s="398"/>
      <c r="AE117" s="398"/>
      <c r="AF117" s="398"/>
      <c r="AG117" s="398"/>
      <c r="AH117" s="398"/>
      <c r="AI117" s="398"/>
    </row>
    <row r="118" spans="1:35" s="21" customFormat="1" ht="25.5">
      <c r="A118" s="398"/>
      <c r="B118" s="398"/>
      <c r="C118" s="398"/>
      <c r="D118" s="696" t="s">
        <v>618</v>
      </c>
      <c r="E118" s="35">
        <f t="shared" si="4"/>
        <v>0.05</v>
      </c>
      <c r="F118" s="398"/>
      <c r="G118" s="398"/>
      <c r="H118" s="398"/>
      <c r="I118" s="326"/>
      <c r="J118" s="326">
        <v>2</v>
      </c>
      <c r="K118" s="326">
        <v>1</v>
      </c>
      <c r="L118" s="326"/>
      <c r="M118" s="326">
        <v>1</v>
      </c>
      <c r="N118" s="326"/>
      <c r="O118" s="326"/>
      <c r="P118" s="326"/>
      <c r="Q118" s="326"/>
      <c r="R118" s="326"/>
      <c r="S118" s="326"/>
      <c r="T118" s="326"/>
      <c r="U118" s="326">
        <v>2</v>
      </c>
      <c r="V118" s="326">
        <v>5</v>
      </c>
      <c r="W118" s="326">
        <v>2</v>
      </c>
      <c r="X118" s="326">
        <v>2</v>
      </c>
      <c r="Y118" s="326">
        <v>2</v>
      </c>
      <c r="Z118" s="326">
        <v>3</v>
      </c>
      <c r="AA118" s="326">
        <v>0</v>
      </c>
      <c r="AB118" s="326">
        <v>5</v>
      </c>
      <c r="AC118" s="326">
        <v>10</v>
      </c>
      <c r="AD118" s="398"/>
      <c r="AE118" s="398"/>
      <c r="AF118" s="398"/>
      <c r="AG118" s="398"/>
      <c r="AH118" s="398"/>
      <c r="AI118" s="398"/>
    </row>
    <row r="119" spans="1:35" s="21" customFormat="1" ht="13.5">
      <c r="A119" s="398"/>
      <c r="B119" s="398"/>
      <c r="C119" s="398"/>
      <c r="D119" s="696" t="s">
        <v>252</v>
      </c>
      <c r="E119" s="35">
        <f t="shared" si="4"/>
        <v>0</v>
      </c>
      <c r="F119" s="398"/>
      <c r="G119" s="398"/>
      <c r="H119" s="398"/>
      <c r="I119" s="326"/>
      <c r="J119" s="326"/>
      <c r="K119" s="326"/>
      <c r="L119" s="326"/>
      <c r="M119" s="326"/>
      <c r="N119" s="326"/>
      <c r="O119" s="326"/>
      <c r="P119" s="326"/>
      <c r="Q119" s="326"/>
      <c r="R119" s="326"/>
      <c r="S119" s="326"/>
      <c r="T119" s="326">
        <v>1</v>
      </c>
      <c r="U119" s="326">
        <v>2</v>
      </c>
      <c r="V119" s="326">
        <v>2</v>
      </c>
      <c r="W119" s="326">
        <v>1</v>
      </c>
      <c r="X119" s="326">
        <v>2</v>
      </c>
      <c r="Y119" s="326">
        <v>1</v>
      </c>
      <c r="Z119" s="326">
        <v>2</v>
      </c>
      <c r="AA119" s="326">
        <v>0</v>
      </c>
      <c r="AB119" s="326">
        <v>5</v>
      </c>
      <c r="AC119" s="326">
        <v>10</v>
      </c>
      <c r="AD119" s="398"/>
      <c r="AE119" s="398"/>
      <c r="AF119" s="398"/>
      <c r="AG119" s="398"/>
      <c r="AH119" s="398"/>
      <c r="AI119" s="398"/>
    </row>
    <row r="120" spans="1:35" s="28" customFormat="1">
      <c r="A120" s="398"/>
      <c r="B120" s="398"/>
      <c r="C120" s="398"/>
      <c r="D120" s="38" t="s">
        <v>259</v>
      </c>
      <c r="E120" s="398"/>
      <c r="F120" s="398"/>
      <c r="G120" s="398"/>
      <c r="H120" s="398"/>
      <c r="I120" s="274"/>
      <c r="J120" s="274"/>
      <c r="K120" s="274"/>
      <c r="L120" s="274"/>
      <c r="M120" s="274"/>
      <c r="N120" s="274"/>
      <c r="O120" s="274"/>
      <c r="P120" s="274"/>
      <c r="Q120" s="274"/>
      <c r="R120" s="274"/>
      <c r="S120" s="274"/>
      <c r="T120" s="274"/>
      <c r="U120" s="274"/>
      <c r="V120" s="274"/>
      <c r="W120" s="274"/>
      <c r="X120" s="274"/>
      <c r="Y120" s="274"/>
      <c r="Z120" s="274"/>
      <c r="AA120" s="274"/>
      <c r="AB120" s="274"/>
      <c r="AC120" s="274"/>
      <c r="AD120" s="398"/>
      <c r="AE120" s="398"/>
      <c r="AF120" s="398"/>
      <c r="AG120" s="398"/>
      <c r="AH120" s="398"/>
      <c r="AI120" s="398"/>
    </row>
    <row r="121" spans="1:35" s="21" customFormat="1" ht="15">
      <c r="A121" s="398"/>
      <c r="B121" s="6" t="s">
        <v>1210</v>
      </c>
      <c r="C121" s="6"/>
      <c r="D121" s="398"/>
      <c r="E121" s="398"/>
      <c r="F121" s="398"/>
      <c r="G121" s="398"/>
      <c r="H121" s="398"/>
      <c r="I121" s="274"/>
      <c r="J121" s="274"/>
      <c r="K121" s="274"/>
      <c r="L121" s="274"/>
      <c r="M121" s="274"/>
      <c r="N121" s="274"/>
      <c r="O121" s="274"/>
      <c r="P121" s="274"/>
      <c r="Q121" s="274"/>
      <c r="R121" s="274"/>
      <c r="S121" s="274"/>
      <c r="T121" s="274"/>
      <c r="U121" s="274"/>
      <c r="V121" s="274"/>
      <c r="W121" s="274"/>
      <c r="X121" s="274"/>
      <c r="Y121" s="274"/>
      <c r="Z121" s="274"/>
      <c r="AA121" s="274"/>
      <c r="AB121" s="274"/>
      <c r="AC121" s="274"/>
      <c r="AD121" s="398"/>
      <c r="AE121" s="398"/>
      <c r="AF121" s="398"/>
      <c r="AG121" s="398"/>
      <c r="AH121" s="398"/>
      <c r="AI121" s="398"/>
    </row>
    <row r="122" spans="1:35" s="21" customFormat="1" ht="13.5">
      <c r="A122" s="398"/>
      <c r="B122" s="398"/>
      <c r="C122" s="398"/>
      <c r="D122" s="696" t="s">
        <v>649</v>
      </c>
      <c r="E122" s="35">
        <f>INDEX(I122:AC122,1,$E$2)/10*ProjectScaleScalar</f>
        <v>0</v>
      </c>
      <c r="F122" s="398"/>
      <c r="G122" s="398"/>
      <c r="H122" s="398"/>
      <c r="I122" s="326"/>
      <c r="J122" s="326"/>
      <c r="K122" s="326"/>
      <c r="L122" s="326"/>
      <c r="M122" s="326"/>
      <c r="N122" s="326"/>
      <c r="O122" s="326"/>
      <c r="P122" s="326"/>
      <c r="Q122" s="326"/>
      <c r="R122" s="326">
        <v>2</v>
      </c>
      <c r="S122" s="326"/>
      <c r="T122" s="326">
        <v>1</v>
      </c>
      <c r="U122" s="326">
        <v>4</v>
      </c>
      <c r="V122" s="326">
        <v>1</v>
      </c>
      <c r="W122" s="326">
        <v>3</v>
      </c>
      <c r="X122" s="326">
        <v>1</v>
      </c>
      <c r="Y122" s="326">
        <v>10</v>
      </c>
      <c r="Z122" s="326">
        <v>3</v>
      </c>
      <c r="AA122" s="326">
        <v>0</v>
      </c>
      <c r="AB122" s="326">
        <v>5</v>
      </c>
      <c r="AC122" s="326">
        <v>10</v>
      </c>
      <c r="AD122" s="398"/>
      <c r="AE122" s="398"/>
      <c r="AF122" s="398"/>
      <c r="AG122" s="398"/>
      <c r="AH122" s="398"/>
      <c r="AI122" s="398"/>
    </row>
    <row r="123" spans="1:35" ht="13.5">
      <c r="A123" s="398"/>
      <c r="B123" s="398"/>
      <c r="C123" s="398"/>
      <c r="D123" s="696" t="s">
        <v>658</v>
      </c>
      <c r="E123" s="35">
        <f>INDEX(I123:AC123,1,$E$2)/10*ProjectScaleScalar</f>
        <v>0</v>
      </c>
      <c r="F123" s="398"/>
      <c r="G123" s="398"/>
      <c r="H123" s="398"/>
      <c r="I123" s="326"/>
      <c r="J123" s="326"/>
      <c r="K123" s="326">
        <v>1</v>
      </c>
      <c r="L123" s="326">
        <v>2</v>
      </c>
      <c r="M123" s="326"/>
      <c r="N123" s="326">
        <v>2</v>
      </c>
      <c r="O123" s="326">
        <v>2</v>
      </c>
      <c r="P123" s="326"/>
      <c r="Q123" s="326">
        <v>1</v>
      </c>
      <c r="R123" s="326">
        <v>1</v>
      </c>
      <c r="S123" s="326">
        <v>3</v>
      </c>
      <c r="T123" s="326">
        <v>3</v>
      </c>
      <c r="U123" s="326"/>
      <c r="V123" s="326">
        <v>4</v>
      </c>
      <c r="W123" s="326">
        <v>10</v>
      </c>
      <c r="X123" s="326">
        <v>3</v>
      </c>
      <c r="Y123" s="326">
        <v>3</v>
      </c>
      <c r="Z123" s="326">
        <v>7</v>
      </c>
      <c r="AA123" s="326">
        <v>0</v>
      </c>
      <c r="AB123" s="326">
        <v>5</v>
      </c>
      <c r="AC123" s="326">
        <v>10</v>
      </c>
      <c r="AD123" s="398"/>
      <c r="AE123" s="398"/>
      <c r="AF123" s="398"/>
      <c r="AG123" s="398"/>
      <c r="AH123" s="398"/>
      <c r="AI123" s="398"/>
    </row>
    <row r="124" spans="1:35" ht="13.5">
      <c r="A124" s="398"/>
      <c r="B124" s="398"/>
      <c r="C124" s="398"/>
      <c r="D124" s="696" t="s">
        <v>673</v>
      </c>
      <c r="E124" s="35">
        <f>INDEX(I124:AC124,1,$E$2)/10*ProjectScaleScalar</f>
        <v>0</v>
      </c>
      <c r="F124" s="398"/>
      <c r="G124" s="398"/>
      <c r="H124" s="398"/>
      <c r="I124" s="326"/>
      <c r="J124" s="326"/>
      <c r="K124" s="326">
        <v>1</v>
      </c>
      <c r="L124" s="326">
        <v>1</v>
      </c>
      <c r="M124" s="326"/>
      <c r="N124" s="326">
        <v>3</v>
      </c>
      <c r="O124" s="326"/>
      <c r="P124" s="326">
        <v>4</v>
      </c>
      <c r="Q124" s="326">
        <v>1</v>
      </c>
      <c r="R124" s="326">
        <v>2</v>
      </c>
      <c r="S124" s="326">
        <v>2</v>
      </c>
      <c r="T124" s="326">
        <v>2</v>
      </c>
      <c r="U124" s="326">
        <v>2</v>
      </c>
      <c r="V124" s="326">
        <v>7</v>
      </c>
      <c r="W124" s="326">
        <v>4</v>
      </c>
      <c r="X124" s="326">
        <v>5</v>
      </c>
      <c r="Y124" s="326">
        <v>2</v>
      </c>
      <c r="Z124" s="326">
        <v>10</v>
      </c>
      <c r="AA124" s="326">
        <v>0</v>
      </c>
      <c r="AB124" s="326">
        <v>5</v>
      </c>
      <c r="AC124" s="326">
        <v>10</v>
      </c>
      <c r="AD124" s="398"/>
      <c r="AE124" s="398"/>
      <c r="AF124" s="398"/>
      <c r="AG124" s="398"/>
      <c r="AH124" s="398"/>
      <c r="AI124" s="398"/>
    </row>
    <row r="125" spans="1:35" ht="13.5">
      <c r="A125" s="398"/>
      <c r="B125" s="398"/>
      <c r="C125" s="398"/>
      <c r="D125" s="696" t="s">
        <v>688</v>
      </c>
      <c r="E125" s="35">
        <f>INDEX(I125:AC125,1,$E$2)/10*ProjectScaleScalar</f>
        <v>0.15</v>
      </c>
      <c r="F125" s="398"/>
      <c r="G125" s="398"/>
      <c r="H125" s="398"/>
      <c r="I125" s="326">
        <v>10</v>
      </c>
      <c r="J125" s="326">
        <v>6</v>
      </c>
      <c r="K125" s="326">
        <v>6</v>
      </c>
      <c r="L125" s="326">
        <v>2</v>
      </c>
      <c r="M125" s="326">
        <v>3</v>
      </c>
      <c r="N125" s="326">
        <v>6</v>
      </c>
      <c r="O125" s="326">
        <v>4</v>
      </c>
      <c r="P125" s="326">
        <v>4</v>
      </c>
      <c r="Q125" s="326">
        <v>3</v>
      </c>
      <c r="R125" s="326">
        <v>6</v>
      </c>
      <c r="S125" s="326">
        <v>3</v>
      </c>
      <c r="T125" s="326">
        <v>3</v>
      </c>
      <c r="U125" s="326">
        <v>1</v>
      </c>
      <c r="V125" s="326">
        <v>3</v>
      </c>
      <c r="W125" s="326">
        <v>2</v>
      </c>
      <c r="X125" s="326">
        <v>2</v>
      </c>
      <c r="Y125" s="326">
        <v>3</v>
      </c>
      <c r="Z125" s="326">
        <v>4</v>
      </c>
      <c r="AA125" s="326">
        <v>0</v>
      </c>
      <c r="AB125" s="326">
        <v>5</v>
      </c>
      <c r="AC125" s="326">
        <v>10</v>
      </c>
      <c r="AD125" s="398"/>
      <c r="AE125" s="398"/>
      <c r="AF125" s="398"/>
      <c r="AG125" s="398"/>
      <c r="AH125" s="398"/>
      <c r="AI125" s="398"/>
    </row>
    <row r="126" spans="1:35" s="28" customFormat="1">
      <c r="A126" s="398"/>
      <c r="B126" s="398"/>
      <c r="C126" s="398"/>
      <c r="D126" s="38" t="s">
        <v>704</v>
      </c>
      <c r="E126" s="398"/>
      <c r="F126" s="398"/>
      <c r="G126" s="398"/>
      <c r="H126" s="398"/>
      <c r="I126" s="398"/>
      <c r="J126" s="398"/>
      <c r="K126" s="398"/>
      <c r="L126" s="398"/>
      <c r="M126" s="398"/>
      <c r="N126" s="398"/>
      <c r="O126" s="398"/>
      <c r="P126" s="398"/>
      <c r="Q126" s="398"/>
      <c r="R126" s="398"/>
      <c r="S126" s="398"/>
      <c r="T126" s="398"/>
      <c r="U126" s="398"/>
      <c r="V126" s="398"/>
      <c r="W126" s="398"/>
      <c r="X126" s="398"/>
      <c r="Y126" s="398"/>
      <c r="Z126" s="398"/>
      <c r="AA126" s="398"/>
      <c r="AB126" s="398"/>
      <c r="AC126" s="398"/>
      <c r="AD126" s="398"/>
      <c r="AE126" s="398"/>
      <c r="AF126" s="398"/>
      <c r="AG126" s="398"/>
      <c r="AH126" s="398"/>
      <c r="AI126" s="398"/>
    </row>
    <row r="127" spans="1:35">
      <c r="A127" s="398"/>
      <c r="B127" s="398"/>
      <c r="C127" s="398"/>
      <c r="D127" s="398"/>
      <c r="E127" s="398"/>
      <c r="F127" s="398"/>
      <c r="G127" s="398"/>
      <c r="H127" s="398"/>
      <c r="I127" s="398"/>
      <c r="J127" s="398"/>
      <c r="K127" s="398"/>
      <c r="L127" s="398"/>
      <c r="M127" s="398"/>
      <c r="N127" s="398"/>
      <c r="O127" s="398"/>
      <c r="P127" s="398"/>
      <c r="Q127" s="398"/>
      <c r="R127" s="398"/>
      <c r="S127" s="398"/>
      <c r="T127" s="398"/>
      <c r="U127" s="398"/>
      <c r="V127" s="398"/>
      <c r="W127" s="398"/>
      <c r="X127" s="398"/>
      <c r="Y127" s="398"/>
      <c r="Z127" s="398"/>
      <c r="AA127" s="398"/>
      <c r="AB127" s="398"/>
      <c r="AC127" s="398"/>
      <c r="AD127" s="398"/>
      <c r="AE127" s="398"/>
      <c r="AF127" s="398"/>
      <c r="AG127" s="398"/>
      <c r="AH127" s="398"/>
      <c r="AI127" s="398"/>
    </row>
    <row r="128" spans="1:35" ht="27">
      <c r="A128" s="4" t="s">
        <v>1211</v>
      </c>
      <c r="B128" s="398"/>
      <c r="C128" s="398"/>
      <c r="D128" s="398"/>
      <c r="E128" s="272" t="s">
        <v>1212</v>
      </c>
      <c r="F128" s="272" t="s">
        <v>852</v>
      </c>
      <c r="G128" s="272" t="s">
        <v>1213</v>
      </c>
      <c r="H128" s="272" t="s">
        <v>1214</v>
      </c>
      <c r="I128" s="398"/>
      <c r="J128" s="398"/>
      <c r="K128" s="398"/>
      <c r="L128" s="398"/>
      <c r="M128" s="398"/>
      <c r="N128" s="398"/>
      <c r="O128" s="398"/>
      <c r="P128" s="398"/>
      <c r="Q128" s="398"/>
      <c r="R128" s="398"/>
      <c r="S128" s="398"/>
      <c r="T128" s="398"/>
      <c r="U128" s="398"/>
      <c r="V128" s="398"/>
      <c r="W128" s="398"/>
      <c r="X128" s="398"/>
      <c r="Y128" s="398"/>
      <c r="Z128" s="398"/>
      <c r="AA128" s="398"/>
      <c r="AB128" s="398"/>
      <c r="AC128" s="398"/>
      <c r="AD128" s="398"/>
      <c r="AE128" s="398"/>
      <c r="AF128" s="398"/>
      <c r="AG128" s="398"/>
      <c r="AH128" s="398"/>
      <c r="AI128" s="398"/>
    </row>
    <row r="129" spans="1:35" s="105" customFormat="1" ht="23.25" thickBot="1">
      <c r="A129" s="3" t="s">
        <v>1215</v>
      </c>
      <c r="B129" s="398"/>
      <c r="C129" s="398"/>
      <c r="D129" s="398"/>
      <c r="E129" s="398"/>
      <c r="F129" s="398" t="s">
        <v>1216</v>
      </c>
      <c r="G129" s="398" t="s">
        <v>1217</v>
      </c>
      <c r="H129" s="398"/>
      <c r="I129" s="398" t="s">
        <v>1218</v>
      </c>
      <c r="J129" s="398"/>
      <c r="K129" s="398"/>
      <c r="L129" s="398"/>
      <c r="M129" s="398"/>
      <c r="N129" s="398"/>
      <c r="O129" s="398"/>
      <c r="P129" s="398"/>
      <c r="Q129" s="398"/>
      <c r="R129" s="398"/>
      <c r="S129" s="398"/>
      <c r="T129" s="398"/>
      <c r="U129" s="398"/>
      <c r="V129" s="398"/>
      <c r="W129" s="398"/>
      <c r="X129" s="398"/>
      <c r="Y129" s="398"/>
      <c r="Z129" s="398"/>
      <c r="AA129" s="398"/>
      <c r="AB129" s="398"/>
      <c r="AC129" s="398"/>
      <c r="AD129" s="398"/>
      <c r="AE129" s="398"/>
      <c r="AF129" s="398"/>
      <c r="AG129" s="398"/>
      <c r="AH129" s="398"/>
      <c r="AI129" s="398"/>
    </row>
    <row r="130" spans="1:35" s="16" customFormat="1" ht="13.5" thickBot="1">
      <c r="A130" s="639"/>
      <c r="B130" s="639"/>
      <c r="C130" s="639"/>
      <c r="D130" s="374" t="str">
        <f>Profile!B6</f>
        <v>Project Type</v>
      </c>
      <c r="E130" s="612" t="s">
        <v>1219</v>
      </c>
      <c r="F130" s="613" t="str">
        <f>ProjectType</f>
        <v>Data Center / Server</v>
      </c>
      <c r="G130" s="613" t="s">
        <v>65</v>
      </c>
      <c r="H130" s="613" t="s">
        <v>65</v>
      </c>
      <c r="I130" s="614" t="str">
        <f>I4</f>
        <v>PC/Client</v>
      </c>
      <c r="J130" s="615" t="str">
        <f>I130</f>
        <v>PC/Client</v>
      </c>
      <c r="K130" s="615" t="str">
        <f t="shared" ref="K130:AC130" si="5">K4</f>
        <v>Infrastructure Mgmt / Networking</v>
      </c>
      <c r="L130" s="615" t="str">
        <f t="shared" si="5"/>
        <v>Storage</v>
      </c>
      <c r="M130" s="615" t="str">
        <f t="shared" si="5"/>
        <v>Security</v>
      </c>
      <c r="N130" s="615" t="str">
        <f t="shared" si="5"/>
        <v>Application Development / Architecture</v>
      </c>
      <c r="O130" s="615" t="str">
        <f t="shared" si="5"/>
        <v>Compliance, Governance, Risk</v>
      </c>
      <c r="P130" s="615" t="str">
        <f t="shared" si="5"/>
        <v>Outsourcing</v>
      </c>
      <c r="Q130" s="615" t="str">
        <f t="shared" si="5"/>
        <v>Wireless/ Mobility</v>
      </c>
      <c r="R130" s="615" t="str">
        <f t="shared" si="5"/>
        <v>Office Productivity Software</v>
      </c>
      <c r="S130" s="615" t="str">
        <f t="shared" si="5"/>
        <v>Messaging/ Collaboration</v>
      </c>
      <c r="T130" s="615" t="str">
        <f t="shared" si="5"/>
        <v>Content Management</v>
      </c>
      <c r="U130" s="615" t="str">
        <f t="shared" si="5"/>
        <v>E-commerce / Internet</v>
      </c>
      <c r="V130" s="615" t="str">
        <f t="shared" si="5"/>
        <v>Business Process Mgmt / Integration</v>
      </c>
      <c r="W130" s="615" t="str">
        <f t="shared" si="5"/>
        <v>Business Intelligence / Data Mgmt</v>
      </c>
      <c r="X130" s="615" t="str">
        <f t="shared" si="5"/>
        <v>Business Applications (Vertical, LOB)</v>
      </c>
      <c r="Y130" s="615" t="str">
        <f t="shared" si="5"/>
        <v>CRM</v>
      </c>
      <c r="Z130" s="615" t="str">
        <f t="shared" si="5"/>
        <v>ERP / Supply Chain</v>
      </c>
      <c r="AA130" s="615" t="str">
        <f t="shared" si="5"/>
        <v>No Sample Data - Zero-out all costs/benefits</v>
      </c>
      <c r="AB130" s="615" t="str">
        <f t="shared" si="5"/>
        <v>5s</v>
      </c>
      <c r="AC130" s="615" t="str">
        <f t="shared" si="5"/>
        <v>10s</v>
      </c>
      <c r="AD130" s="615"/>
      <c r="AE130" s="616"/>
      <c r="AF130" s="639"/>
      <c r="AG130" s="639"/>
      <c r="AH130" s="639"/>
      <c r="AI130" s="639"/>
    </row>
    <row r="131" spans="1:35" s="16" customFormat="1">
      <c r="A131" s="639"/>
      <c r="B131" s="639"/>
      <c r="C131" s="639"/>
      <c r="D131" s="374" t="str">
        <f>Profile!C9</f>
        <v>Project Scale (Investment level)</v>
      </c>
      <c r="E131" s="612" t="s">
        <v>1220</v>
      </c>
      <c r="F131" s="617" t="str">
        <f>ProjectScaleSelected</f>
        <v>Minor (e.g. enhancement/upgrade)</v>
      </c>
      <c r="G131" s="617" t="s">
        <v>1156</v>
      </c>
      <c r="H131" s="617" t="s">
        <v>1156</v>
      </c>
      <c r="I131" s="618"/>
      <c r="J131" s="618"/>
      <c r="K131" s="618"/>
      <c r="L131" s="618"/>
      <c r="M131" s="618"/>
      <c r="N131" s="618"/>
      <c r="O131" s="618"/>
      <c r="P131" s="618"/>
      <c r="Q131" s="618"/>
      <c r="R131" s="618"/>
      <c r="S131" s="618"/>
      <c r="T131" s="618"/>
      <c r="U131" s="618"/>
      <c r="V131" s="618"/>
      <c r="W131" s="618"/>
      <c r="X131" s="618"/>
      <c r="Y131" s="618"/>
      <c r="Z131" s="618"/>
      <c r="AA131" s="618"/>
      <c r="AB131" s="618"/>
      <c r="AC131" s="618"/>
      <c r="AD131" s="618"/>
      <c r="AE131" s="618"/>
      <c r="AF131" s="639"/>
      <c r="AG131" s="639"/>
      <c r="AH131" s="639"/>
      <c r="AI131" s="639"/>
    </row>
    <row r="132" spans="1:35" s="16" customFormat="1">
      <c r="A132" s="639"/>
      <c r="B132" s="639"/>
      <c r="C132" s="639"/>
      <c r="D132" s="374" t="s">
        <v>1221</v>
      </c>
      <c r="E132" s="110" t="s">
        <v>1221</v>
      </c>
      <c r="F132" s="111">
        <f>Employees</f>
        <v>5000</v>
      </c>
      <c r="G132" s="111">
        <v>5000</v>
      </c>
      <c r="H132" s="111">
        <v>5000</v>
      </c>
      <c r="I132" s="375"/>
      <c r="J132" s="618"/>
      <c r="K132" s="618"/>
      <c r="L132" s="618"/>
      <c r="M132" s="618"/>
      <c r="N132" s="618"/>
      <c r="O132" s="618"/>
      <c r="P132" s="618"/>
      <c r="Q132" s="618"/>
      <c r="R132" s="618"/>
      <c r="S132" s="618"/>
      <c r="T132" s="618"/>
      <c r="U132" s="618"/>
      <c r="V132" s="618"/>
      <c r="W132" s="618"/>
      <c r="X132" s="618"/>
      <c r="Y132" s="618"/>
      <c r="Z132" s="618"/>
      <c r="AA132" s="618"/>
      <c r="AB132" s="618"/>
      <c r="AC132" s="618"/>
      <c r="AD132" s="618"/>
      <c r="AE132" s="618"/>
      <c r="AF132" s="639"/>
      <c r="AG132" s="639"/>
      <c r="AH132" s="639"/>
      <c r="AI132" s="639"/>
    </row>
    <row r="133" spans="1:35" s="16" customFormat="1">
      <c r="A133" s="639"/>
      <c r="B133" s="639"/>
      <c r="C133" s="639"/>
      <c r="D133" s="374" t="s">
        <v>756</v>
      </c>
      <c r="E133" s="110" t="s">
        <v>756</v>
      </c>
      <c r="F133" s="111" t="str">
        <f>Industry</f>
        <v>Average or combination</v>
      </c>
      <c r="G133" s="111" t="s">
        <v>919</v>
      </c>
      <c r="H133" s="111" t="s">
        <v>919</v>
      </c>
      <c r="I133" s="375"/>
      <c r="J133" s="618"/>
      <c r="K133" s="618"/>
      <c r="L133" s="618"/>
      <c r="M133" s="618"/>
      <c r="N133" s="618"/>
      <c r="O133" s="618"/>
      <c r="P133" s="618"/>
      <c r="Q133" s="618"/>
      <c r="R133" s="618"/>
      <c r="S133" s="618"/>
      <c r="T133" s="618"/>
      <c r="U133" s="618"/>
      <c r="V133" s="618"/>
      <c r="W133" s="618"/>
      <c r="X133" s="618"/>
      <c r="Y133" s="618"/>
      <c r="Z133" s="618"/>
      <c r="AA133" s="618"/>
      <c r="AB133" s="618"/>
      <c r="AC133" s="618"/>
      <c r="AD133" s="618"/>
      <c r="AE133" s="618"/>
      <c r="AF133" s="639"/>
      <c r="AG133" s="639"/>
      <c r="AH133" s="639"/>
      <c r="AI133" s="639"/>
    </row>
    <row r="134" spans="1:35" s="16" customFormat="1">
      <c r="A134" s="639"/>
      <c r="B134" s="639"/>
      <c r="C134" s="639"/>
      <c r="D134" s="374" t="s">
        <v>1001</v>
      </c>
      <c r="E134" s="110" t="s">
        <v>1001</v>
      </c>
      <c r="F134" s="111" t="str">
        <f>Country</f>
        <v>NORTH AMERICA - United States</v>
      </c>
      <c r="G134" s="111" t="s">
        <v>1222</v>
      </c>
      <c r="H134" s="111" t="s">
        <v>1222</v>
      </c>
      <c r="I134" s="375"/>
      <c r="J134" s="618"/>
      <c r="K134" s="618"/>
      <c r="L134" s="618"/>
      <c r="M134" s="618"/>
      <c r="N134" s="618"/>
      <c r="O134" s="618"/>
      <c r="P134" s="618"/>
      <c r="Q134" s="618"/>
      <c r="R134" s="618"/>
      <c r="S134" s="618"/>
      <c r="T134" s="618"/>
      <c r="U134" s="618"/>
      <c r="V134" s="618"/>
      <c r="W134" s="618"/>
      <c r="X134" s="618"/>
      <c r="Y134" s="618"/>
      <c r="Z134" s="618"/>
      <c r="AA134" s="618"/>
      <c r="AB134" s="618"/>
      <c r="AC134" s="618"/>
      <c r="AD134" s="618"/>
      <c r="AE134" s="618"/>
      <c r="AF134" s="639"/>
      <c r="AG134" s="639"/>
      <c r="AH134" s="639"/>
      <c r="AI134" s="639"/>
    </row>
    <row r="135" spans="1:35" s="16" customFormat="1">
      <c r="A135" s="639"/>
      <c r="B135" s="639"/>
      <c r="C135" s="639"/>
      <c r="D135" s="374" t="s">
        <v>1223</v>
      </c>
      <c r="E135" s="110" t="s">
        <v>1224</v>
      </c>
      <c r="F135" s="111" t="e">
        <f>CoOrTickerInput</f>
        <v>#NAME?</v>
      </c>
      <c r="G135" s="111">
        <v>0</v>
      </c>
      <c r="H135" s="111">
        <v>0</v>
      </c>
      <c r="I135" s="181"/>
      <c r="J135" s="113"/>
      <c r="K135" s="113"/>
      <c r="L135" s="113"/>
      <c r="M135" s="113"/>
      <c r="N135" s="113"/>
      <c r="O135" s="113"/>
      <c r="P135" s="113"/>
      <c r="Q135" s="113"/>
      <c r="R135" s="113"/>
      <c r="S135" s="113"/>
      <c r="T135" s="113"/>
      <c r="U135" s="113"/>
      <c r="V135" s="113"/>
      <c r="W135" s="113"/>
      <c r="X135" s="113"/>
      <c r="Y135" s="113"/>
      <c r="Z135" s="113"/>
      <c r="AA135" s="113"/>
      <c r="AB135" s="113"/>
      <c r="AC135" s="113"/>
      <c r="AD135" s="113"/>
      <c r="AE135" s="113"/>
      <c r="AF135" s="639"/>
      <c r="AG135" s="639"/>
      <c r="AH135" s="639"/>
      <c r="AI135" s="639"/>
    </row>
    <row r="136" spans="1:35" ht="14.25">
      <c r="A136" s="398"/>
      <c r="B136" s="398"/>
      <c r="C136" s="8" t="s">
        <v>693</v>
      </c>
      <c r="D136" s="398"/>
      <c r="E136" s="398"/>
      <c r="F136" s="619"/>
      <c r="G136" s="619"/>
      <c r="H136" s="619"/>
      <c r="I136" s="620"/>
      <c r="J136" s="620"/>
      <c r="K136" s="620"/>
      <c r="L136" s="620"/>
      <c r="M136" s="620"/>
      <c r="N136" s="620"/>
      <c r="O136" s="620"/>
      <c r="P136" s="620"/>
      <c r="Q136" s="620"/>
      <c r="R136" s="620"/>
      <c r="S136" s="620"/>
      <c r="T136" s="620"/>
      <c r="U136" s="620"/>
      <c r="V136" s="620"/>
      <c r="W136" s="620"/>
      <c r="X136" s="620"/>
      <c r="Y136" s="620"/>
      <c r="Z136" s="620"/>
      <c r="AA136" s="620"/>
      <c r="AB136" s="620"/>
      <c r="AC136" s="620"/>
      <c r="AD136" s="620"/>
      <c r="AE136" s="620"/>
      <c r="AF136" s="398"/>
      <c r="AG136" s="398"/>
      <c r="AH136" s="398"/>
      <c r="AI136" s="398"/>
    </row>
    <row r="137" spans="1:35" s="16" customFormat="1">
      <c r="A137" s="639"/>
      <c r="B137" s="639"/>
      <c r="C137" s="639"/>
      <c r="D137" s="374" t="str">
        <f>Profile!C36</f>
        <v>Sales/Marketing</v>
      </c>
      <c r="E137" s="110"/>
      <c r="F137" s="111"/>
      <c r="G137" s="111"/>
      <c r="H137" s="111"/>
      <c r="I137" s="181"/>
      <c r="J137" s="113"/>
      <c r="K137" s="113"/>
      <c r="L137" s="113"/>
      <c r="M137" s="113"/>
      <c r="N137" s="113"/>
      <c r="O137" s="113"/>
      <c r="P137" s="113"/>
      <c r="Q137" s="113"/>
      <c r="R137" s="113"/>
      <c r="S137" s="113"/>
      <c r="T137" s="113"/>
      <c r="U137" s="113"/>
      <c r="V137" s="113"/>
      <c r="W137" s="113"/>
      <c r="X137" s="113"/>
      <c r="Y137" s="113"/>
      <c r="Z137" s="113"/>
      <c r="AA137" s="113"/>
      <c r="AB137" s="113"/>
      <c r="AC137" s="113"/>
      <c r="AD137" s="113"/>
      <c r="AE137" s="113"/>
      <c r="AF137" s="639"/>
      <c r="AG137" s="639"/>
      <c r="AH137" s="639"/>
      <c r="AI137" s="639"/>
    </row>
    <row r="138" spans="1:35" s="16" customFormat="1">
      <c r="A138" s="639"/>
      <c r="B138" s="639"/>
      <c r="C138" s="639"/>
      <c r="D138" s="374" t="str">
        <f>Profile!C37</f>
        <v>Business Management</v>
      </c>
      <c r="E138" s="110"/>
      <c r="F138" s="111"/>
      <c r="G138" s="111"/>
      <c r="H138" s="111"/>
      <c r="I138" s="181"/>
      <c r="J138" s="113"/>
      <c r="K138" s="113"/>
      <c r="L138" s="113"/>
      <c r="M138" s="113"/>
      <c r="N138" s="113"/>
      <c r="O138" s="113"/>
      <c r="P138" s="113"/>
      <c r="Q138" s="113"/>
      <c r="R138" s="113"/>
      <c r="S138" s="113"/>
      <c r="T138" s="113"/>
      <c r="U138" s="113"/>
      <c r="V138" s="113"/>
      <c r="W138" s="113"/>
      <c r="X138" s="113"/>
      <c r="Y138" s="113"/>
      <c r="Z138" s="113"/>
      <c r="AA138" s="113"/>
      <c r="AB138" s="113"/>
      <c r="AC138" s="113"/>
      <c r="AD138" s="113"/>
      <c r="AE138" s="113"/>
      <c r="AF138" s="639"/>
      <c r="AG138" s="639"/>
      <c r="AH138" s="639"/>
      <c r="AI138" s="639"/>
    </row>
    <row r="139" spans="1:35" s="16" customFormat="1">
      <c r="A139" s="639"/>
      <c r="B139" s="639"/>
      <c r="C139" s="639"/>
      <c r="D139" s="374" t="str">
        <f>Profile!C38</f>
        <v>Supply/Operations</v>
      </c>
      <c r="E139" s="110"/>
      <c r="F139" s="111"/>
      <c r="G139" s="111"/>
      <c r="H139" s="111"/>
      <c r="I139" s="181"/>
      <c r="J139" s="113"/>
      <c r="K139" s="113"/>
      <c r="L139" s="113"/>
      <c r="M139" s="113"/>
      <c r="N139" s="113"/>
      <c r="O139" s="113"/>
      <c r="P139" s="113"/>
      <c r="Q139" s="113"/>
      <c r="R139" s="113"/>
      <c r="S139" s="113"/>
      <c r="T139" s="113"/>
      <c r="U139" s="113"/>
      <c r="V139" s="113"/>
      <c r="W139" s="113"/>
      <c r="X139" s="113"/>
      <c r="Y139" s="113"/>
      <c r="Z139" s="113"/>
      <c r="AA139" s="113"/>
      <c r="AB139" s="113"/>
      <c r="AC139" s="113"/>
      <c r="AD139" s="113"/>
      <c r="AE139" s="113"/>
      <c r="AF139" s="639"/>
      <c r="AG139" s="639"/>
      <c r="AH139" s="639"/>
      <c r="AI139" s="639"/>
    </row>
    <row r="140" spans="1:35" s="16" customFormat="1">
      <c r="A140" s="639"/>
      <c r="B140" s="639"/>
      <c r="C140" s="639"/>
      <c r="D140" s="374" t="str">
        <f>Profile!C39</f>
        <v>Technology Management &amp; Operations</v>
      </c>
      <c r="E140" s="110"/>
      <c r="F140" s="111"/>
      <c r="G140" s="111"/>
      <c r="H140" s="111"/>
      <c r="I140" s="181"/>
      <c r="J140" s="113"/>
      <c r="K140" s="113"/>
      <c r="L140" s="113"/>
      <c r="M140" s="113"/>
      <c r="N140" s="113"/>
      <c r="O140" s="113"/>
      <c r="P140" s="113"/>
      <c r="Q140" s="113"/>
      <c r="R140" s="113"/>
      <c r="S140" s="113"/>
      <c r="T140" s="113"/>
      <c r="U140" s="113"/>
      <c r="V140" s="113"/>
      <c r="W140" s="113"/>
      <c r="X140" s="113"/>
      <c r="Y140" s="113"/>
      <c r="Z140" s="113"/>
      <c r="AA140" s="113"/>
      <c r="AB140" s="113"/>
      <c r="AC140" s="113"/>
      <c r="AD140" s="113"/>
      <c r="AE140" s="113"/>
      <c r="AF140" s="639"/>
      <c r="AG140" s="639"/>
      <c r="AH140" s="639"/>
      <c r="AI140" s="639"/>
    </row>
    <row r="141" spans="1:35" s="16" customFormat="1">
      <c r="A141" s="639"/>
      <c r="B141" s="639"/>
      <c r="C141" s="639"/>
      <c r="D141" s="374" t="s">
        <v>1111</v>
      </c>
      <c r="E141" s="110"/>
      <c r="F141" s="125">
        <f>ExchangeRate</f>
        <v>1</v>
      </c>
      <c r="G141" s="111">
        <v>1</v>
      </c>
      <c r="H141" s="111"/>
      <c r="I141" s="181"/>
      <c r="J141" s="113"/>
      <c r="K141" s="113"/>
      <c r="L141" s="113"/>
      <c r="M141" s="113"/>
      <c r="N141" s="113"/>
      <c r="O141" s="113"/>
      <c r="P141" s="113"/>
      <c r="Q141" s="113"/>
      <c r="R141" s="113"/>
      <c r="S141" s="113"/>
      <c r="T141" s="113"/>
      <c r="U141" s="113"/>
      <c r="V141" s="113"/>
      <c r="W141" s="113"/>
      <c r="X141" s="113"/>
      <c r="Y141" s="113"/>
      <c r="Z141" s="113"/>
      <c r="AA141" s="113"/>
      <c r="AB141" s="113"/>
      <c r="AC141" s="113"/>
      <c r="AD141" s="113"/>
      <c r="AE141" s="113"/>
      <c r="AF141" s="639"/>
      <c r="AG141" s="639"/>
      <c r="AH141" s="639"/>
      <c r="AI141" s="639"/>
    </row>
    <row r="142" spans="1:35" s="16" customFormat="1" ht="13.5" thickBot="1">
      <c r="A142" s="639"/>
      <c r="B142" s="639"/>
      <c r="C142" s="639"/>
      <c r="D142" s="374" t="s">
        <v>1225</v>
      </c>
      <c r="E142" s="110"/>
      <c r="F142" s="112"/>
      <c r="G142" s="112"/>
      <c r="H142" s="112"/>
      <c r="I142" s="181"/>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639"/>
      <c r="AG142" s="639"/>
      <c r="AH142" s="639"/>
      <c r="AI142" s="639"/>
    </row>
    <row r="143" spans="1:35" s="105" customFormat="1" ht="22.5">
      <c r="A143" s="3" t="s">
        <v>1226</v>
      </c>
      <c r="B143" s="398"/>
      <c r="C143" s="398"/>
      <c r="D143" s="398"/>
      <c r="E143" s="398"/>
      <c r="F143" s="398" t="s">
        <v>1227</v>
      </c>
      <c r="G143" s="398"/>
      <c r="H143" s="398"/>
      <c r="I143" s="398"/>
      <c r="J143" s="398"/>
      <c r="K143" s="398"/>
      <c r="L143" s="398"/>
      <c r="M143" s="398"/>
      <c r="N143" s="398"/>
      <c r="O143" s="398"/>
      <c r="P143" s="398"/>
      <c r="Q143" s="398"/>
      <c r="R143" s="398"/>
      <c r="S143" s="398"/>
      <c r="T143" s="398"/>
      <c r="U143" s="398"/>
      <c r="V143" s="398"/>
      <c r="W143" s="398"/>
      <c r="X143" s="398"/>
      <c r="Y143" s="398"/>
      <c r="Z143" s="398"/>
      <c r="AA143" s="398"/>
      <c r="AB143" s="398"/>
      <c r="AC143" s="398"/>
      <c r="AD143" s="398"/>
      <c r="AE143" s="398"/>
      <c r="AF143" s="398"/>
      <c r="AG143" s="398"/>
      <c r="AH143" s="398"/>
      <c r="AI143" s="398"/>
    </row>
    <row r="144" spans="1:35" ht="15.75" thickBot="1">
      <c r="A144" s="398"/>
      <c r="B144" s="6" t="s">
        <v>1228</v>
      </c>
      <c r="C144" s="398"/>
      <c r="D144" s="398"/>
      <c r="E144" s="398"/>
      <c r="F144" s="398"/>
      <c r="G144" s="398"/>
      <c r="H144" s="398"/>
      <c r="I144" s="398"/>
      <c r="J144" s="398"/>
      <c r="K144" s="398"/>
      <c r="L144" s="398"/>
      <c r="M144" s="398"/>
      <c r="N144" s="398"/>
      <c r="O144" s="398"/>
      <c r="P144" s="398"/>
      <c r="Q144" s="398"/>
      <c r="R144" s="398"/>
      <c r="S144" s="398"/>
      <c r="T144" s="398"/>
      <c r="U144" s="398"/>
      <c r="V144" s="398"/>
      <c r="W144" s="398"/>
      <c r="X144" s="398"/>
      <c r="Y144" s="398"/>
      <c r="Z144" s="398"/>
      <c r="AA144" s="398"/>
      <c r="AB144" s="398"/>
      <c r="AC144" s="398"/>
      <c r="AD144" s="398"/>
      <c r="AE144" s="270"/>
      <c r="AF144" s="398" t="s">
        <v>704</v>
      </c>
      <c r="AG144" s="398" t="s">
        <v>1229</v>
      </c>
      <c r="AH144" s="398"/>
      <c r="AI144" s="398"/>
    </row>
    <row r="145" spans="1:35">
      <c r="A145" s="398"/>
      <c r="B145" s="398"/>
      <c r="C145" s="398"/>
      <c r="D145" s="696" t="s">
        <v>241</v>
      </c>
      <c r="E145" s="398"/>
      <c r="F145" s="621">
        <f>Costs!I38</f>
        <v>26.249999999999996</v>
      </c>
      <c r="G145" s="621">
        <v>96</v>
      </c>
      <c r="H145" s="621">
        <v>96</v>
      </c>
      <c r="I145" s="622">
        <v>389.33</v>
      </c>
      <c r="J145" s="622">
        <v>389.33</v>
      </c>
      <c r="K145" s="622">
        <v>97.88</v>
      </c>
      <c r="L145" s="622">
        <v>187.2</v>
      </c>
      <c r="M145" s="622">
        <v>19.579999999999998</v>
      </c>
      <c r="N145" s="622">
        <v>19.2</v>
      </c>
      <c r="O145" s="622">
        <v>8.6999999999999993</v>
      </c>
      <c r="P145" s="622">
        <v>0</v>
      </c>
      <c r="Q145" s="622">
        <v>180.53</v>
      </c>
      <c r="R145" s="622">
        <v>17.399999999999999</v>
      </c>
      <c r="S145" s="622">
        <v>89.18</v>
      </c>
      <c r="T145" s="622">
        <v>69.599999999999994</v>
      </c>
      <c r="U145" s="622">
        <v>115.28</v>
      </c>
      <c r="V145" s="622">
        <v>53.29</v>
      </c>
      <c r="W145" s="622">
        <v>62.4</v>
      </c>
      <c r="X145" s="622">
        <v>44.59</v>
      </c>
      <c r="Y145" s="622">
        <v>70.8</v>
      </c>
      <c r="Z145" s="622">
        <v>103.01</v>
      </c>
      <c r="AA145" s="622">
        <v>0</v>
      </c>
      <c r="AB145" s="622">
        <v>315.38</v>
      </c>
      <c r="AC145" s="622">
        <v>630.75</v>
      </c>
      <c r="AD145" s="622">
        <v>630.75</v>
      </c>
      <c r="AE145" s="622">
        <v>630.75</v>
      </c>
      <c r="AF145" s="623">
        <f>AVERAGE(I145:Z145)</f>
        <v>106.51666666666667</v>
      </c>
      <c r="AG145" s="623">
        <f>MEDIAN(I145:Z145)</f>
        <v>70.199999999999989</v>
      </c>
      <c r="AH145" s="398"/>
      <c r="AI145" s="398"/>
    </row>
    <row r="146" spans="1:35">
      <c r="A146" s="398"/>
      <c r="B146" s="398"/>
      <c r="C146" s="398"/>
      <c r="D146" s="696" t="s">
        <v>261</v>
      </c>
      <c r="E146" s="398"/>
      <c r="F146" s="624">
        <f>Costs!I42</f>
        <v>66.829166666666652</v>
      </c>
      <c r="G146" s="624">
        <v>238.72</v>
      </c>
      <c r="H146" s="624">
        <v>238.72</v>
      </c>
      <c r="I146" s="622">
        <v>257.44</v>
      </c>
      <c r="J146" s="622">
        <v>257.44</v>
      </c>
      <c r="K146" s="622">
        <v>185.9</v>
      </c>
      <c r="L146" s="622">
        <v>154.24</v>
      </c>
      <c r="M146" s="622">
        <v>237.05</v>
      </c>
      <c r="N146" s="622">
        <v>221.44</v>
      </c>
      <c r="O146" s="622">
        <v>152.66</v>
      </c>
      <c r="P146" s="622">
        <v>166.75</v>
      </c>
      <c r="Q146" s="622">
        <v>196.04</v>
      </c>
      <c r="R146" s="622">
        <v>388.7</v>
      </c>
      <c r="S146" s="622">
        <v>269.27</v>
      </c>
      <c r="T146" s="622">
        <v>209</v>
      </c>
      <c r="U146" s="622">
        <v>172.94</v>
      </c>
      <c r="V146" s="622">
        <v>225.62</v>
      </c>
      <c r="W146" s="622">
        <v>413.18</v>
      </c>
      <c r="X146" s="622">
        <v>488.69</v>
      </c>
      <c r="Y146" s="622">
        <v>493.63</v>
      </c>
      <c r="Z146" s="622">
        <v>1293.08</v>
      </c>
      <c r="AA146" s="622">
        <v>0</v>
      </c>
      <c r="AB146" s="622">
        <v>442.22</v>
      </c>
      <c r="AC146" s="622">
        <v>884.43</v>
      </c>
      <c r="AD146" s="622">
        <v>884.43</v>
      </c>
      <c r="AE146" s="622">
        <v>884.43</v>
      </c>
      <c r="AF146" s="623">
        <f t="shared" ref="AF146:AF193" si="6">AVERAGE(I146:Z146)</f>
        <v>321.28166666666664</v>
      </c>
      <c r="AG146" s="623">
        <f t="shared" ref="AG146:AG193" si="7">MEDIAN(I146:Z146)</f>
        <v>231.33500000000001</v>
      </c>
      <c r="AH146" s="398"/>
      <c r="AI146" s="398"/>
    </row>
    <row r="147" spans="1:35">
      <c r="A147" s="398"/>
      <c r="B147" s="398"/>
      <c r="C147" s="398"/>
      <c r="D147" s="696" t="s">
        <v>276</v>
      </c>
      <c r="E147" s="398"/>
      <c r="F147" s="624">
        <f>Costs!I48</f>
        <v>34.097282748094749</v>
      </c>
      <c r="G147" s="624">
        <v>96.55</v>
      </c>
      <c r="H147" s="624">
        <v>108.67</v>
      </c>
      <c r="I147" s="622">
        <v>146.68</v>
      </c>
      <c r="J147" s="622">
        <v>146.68</v>
      </c>
      <c r="K147" s="622">
        <v>108.76</v>
      </c>
      <c r="L147" s="622">
        <v>54.28</v>
      </c>
      <c r="M147" s="622">
        <v>95.53</v>
      </c>
      <c r="N147" s="622">
        <v>167.77</v>
      </c>
      <c r="O147" s="622">
        <v>73.64</v>
      </c>
      <c r="P147" s="622">
        <v>145.24</v>
      </c>
      <c r="Q147" s="622">
        <v>99.92</v>
      </c>
      <c r="R147" s="622">
        <v>61.05</v>
      </c>
      <c r="S147" s="622">
        <v>77.19</v>
      </c>
      <c r="T147" s="622">
        <v>75.760000000000005</v>
      </c>
      <c r="U147" s="622">
        <v>136.44</v>
      </c>
      <c r="V147" s="622">
        <v>93.68</v>
      </c>
      <c r="W147" s="622">
        <v>136.32</v>
      </c>
      <c r="X147" s="622">
        <v>73.3</v>
      </c>
      <c r="Y147" s="622">
        <v>135.94</v>
      </c>
      <c r="Z147" s="622">
        <v>212.76</v>
      </c>
      <c r="AA147" s="622">
        <v>0</v>
      </c>
      <c r="AB147" s="622">
        <v>116.25</v>
      </c>
      <c r="AC147" s="622">
        <v>232.49</v>
      </c>
      <c r="AD147" s="622">
        <v>232.49</v>
      </c>
      <c r="AE147" s="622">
        <v>232.49</v>
      </c>
      <c r="AF147" s="623">
        <f t="shared" si="6"/>
        <v>113.38555555555556</v>
      </c>
      <c r="AG147" s="623">
        <f t="shared" si="7"/>
        <v>104.34</v>
      </c>
      <c r="AH147" s="398"/>
      <c r="AI147" s="398"/>
    </row>
    <row r="148" spans="1:35" ht="13.5" thickBot="1">
      <c r="A148" s="398"/>
      <c r="B148" s="398"/>
      <c r="C148" s="398"/>
      <c r="D148" s="696" t="s">
        <v>320</v>
      </c>
      <c r="E148" s="398"/>
      <c r="F148" s="624">
        <f>Costs!I52</f>
        <v>22.080677594931196</v>
      </c>
      <c r="G148" s="624">
        <v>57.58</v>
      </c>
      <c r="H148" s="624">
        <v>51.68</v>
      </c>
      <c r="I148" s="622">
        <v>244.96</v>
      </c>
      <c r="J148" s="622">
        <v>244.96</v>
      </c>
      <c r="K148" s="622">
        <v>53.51</v>
      </c>
      <c r="L148" s="622">
        <v>57.58</v>
      </c>
      <c r="M148" s="622">
        <v>129.58000000000001</v>
      </c>
      <c r="N148" s="622">
        <v>57.58</v>
      </c>
      <c r="O148" s="622">
        <v>107.01</v>
      </c>
      <c r="P148" s="622">
        <v>152.16</v>
      </c>
      <c r="Q148" s="622">
        <v>76.08</v>
      </c>
      <c r="R148" s="622">
        <v>321.04000000000002</v>
      </c>
      <c r="S148" s="622">
        <v>107.01</v>
      </c>
      <c r="T148" s="622">
        <v>183.09</v>
      </c>
      <c r="U148" s="622">
        <v>236.6</v>
      </c>
      <c r="V148" s="622">
        <v>236.6</v>
      </c>
      <c r="W148" s="622">
        <v>287.91000000000003</v>
      </c>
      <c r="X148" s="622">
        <v>267.52999999999997</v>
      </c>
      <c r="Y148" s="622">
        <v>310.27</v>
      </c>
      <c r="Z148" s="622">
        <v>698.08</v>
      </c>
      <c r="AA148" s="622">
        <v>0</v>
      </c>
      <c r="AB148" s="622">
        <v>267.52999999999997</v>
      </c>
      <c r="AC148" s="622">
        <v>535.05999999999995</v>
      </c>
      <c r="AD148" s="622">
        <v>535.05999999999995</v>
      </c>
      <c r="AE148" s="622">
        <v>535.05999999999995</v>
      </c>
      <c r="AF148" s="623">
        <f t="shared" si="6"/>
        <v>209.53055555555554</v>
      </c>
      <c r="AG148" s="623">
        <f t="shared" si="7"/>
        <v>209.845</v>
      </c>
      <c r="AH148" s="398"/>
      <c r="AI148" s="398"/>
    </row>
    <row r="149" spans="1:35" ht="13.5" thickTop="1">
      <c r="A149" s="398"/>
      <c r="B149" s="398"/>
      <c r="C149" s="398"/>
      <c r="D149" s="38" t="s">
        <v>259</v>
      </c>
      <c r="E149" s="398"/>
      <c r="F149" s="625">
        <f>ROI!G70</f>
        <v>149.2571270096926</v>
      </c>
      <c r="G149" s="625">
        <v>488.85</v>
      </c>
      <c r="H149" s="625">
        <v>495.07</v>
      </c>
      <c r="I149" s="626">
        <v>1038.4100000000001</v>
      </c>
      <c r="J149" s="626">
        <v>1038.4100000000001</v>
      </c>
      <c r="K149" s="626">
        <v>446.04</v>
      </c>
      <c r="L149" s="626">
        <v>453.31</v>
      </c>
      <c r="M149" s="626">
        <v>481.74</v>
      </c>
      <c r="N149" s="626">
        <v>465.99</v>
      </c>
      <c r="O149" s="626">
        <v>342.02</v>
      </c>
      <c r="P149" s="626">
        <v>464.15</v>
      </c>
      <c r="Q149" s="626">
        <v>552.55999999999995</v>
      </c>
      <c r="R149" s="626">
        <v>788.19</v>
      </c>
      <c r="S149" s="626">
        <v>542.65</v>
      </c>
      <c r="T149" s="626">
        <v>537.44000000000005</v>
      </c>
      <c r="U149" s="626">
        <v>661.25</v>
      </c>
      <c r="V149" s="626">
        <v>609.17999999999995</v>
      </c>
      <c r="W149" s="626">
        <v>899.81</v>
      </c>
      <c r="X149" s="626">
        <v>874.11</v>
      </c>
      <c r="Y149" s="626">
        <v>1010.64</v>
      </c>
      <c r="Z149" s="626">
        <v>2306.9299999999998</v>
      </c>
      <c r="AA149" s="626">
        <v>0</v>
      </c>
      <c r="AB149" s="626">
        <v>1141.3699999999999</v>
      </c>
      <c r="AC149" s="627">
        <v>2282.7399999999998</v>
      </c>
      <c r="AD149" s="627">
        <v>2282.7399999999998</v>
      </c>
      <c r="AE149" s="627">
        <v>2282.7399999999998</v>
      </c>
      <c r="AF149" s="628">
        <f t="shared" si="6"/>
        <v>750.71277777777777</v>
      </c>
      <c r="AG149" s="628">
        <f t="shared" si="7"/>
        <v>580.86999999999989</v>
      </c>
      <c r="AH149" s="398"/>
      <c r="AI149" s="398"/>
    </row>
    <row r="150" spans="1:35" s="28" customFormat="1" ht="15">
      <c r="A150" s="398"/>
      <c r="B150" s="6" t="s">
        <v>1230</v>
      </c>
      <c r="C150" s="398"/>
      <c r="D150" s="398"/>
      <c r="E150" s="398"/>
      <c r="F150" s="619"/>
      <c r="G150" s="619"/>
      <c r="H150" s="619"/>
      <c r="I150" s="620"/>
      <c r="J150" s="620"/>
      <c r="K150" s="620"/>
      <c r="L150" s="620"/>
      <c r="M150" s="620"/>
      <c r="N150" s="620"/>
      <c r="O150" s="620"/>
      <c r="P150" s="620"/>
      <c r="Q150" s="620"/>
      <c r="R150" s="620"/>
      <c r="S150" s="620"/>
      <c r="T150" s="620"/>
      <c r="U150" s="620"/>
      <c r="V150" s="620"/>
      <c r="W150" s="620"/>
      <c r="X150" s="620"/>
      <c r="Y150" s="620"/>
      <c r="Z150" s="620"/>
      <c r="AA150" s="620"/>
      <c r="AB150" s="620"/>
      <c r="AC150" s="620"/>
      <c r="AD150" s="620"/>
      <c r="AE150" s="620"/>
      <c r="AF150" s="629"/>
      <c r="AG150" s="629"/>
      <c r="AH150" s="398"/>
      <c r="AI150" s="398"/>
    </row>
    <row r="151" spans="1:35">
      <c r="A151" s="398"/>
      <c r="B151" s="398"/>
      <c r="C151" s="398"/>
      <c r="D151" s="36" t="s">
        <v>1231</v>
      </c>
      <c r="E151" s="398"/>
      <c r="F151" s="624">
        <f>ROI!G77</f>
        <v>483.48524812665181</v>
      </c>
      <c r="G151" s="624">
        <v>1436.13</v>
      </c>
      <c r="H151" s="624">
        <v>1449.52</v>
      </c>
      <c r="I151" s="622">
        <v>617.38</v>
      </c>
      <c r="J151" s="622">
        <v>617.38</v>
      </c>
      <c r="K151" s="622">
        <v>1150.95</v>
      </c>
      <c r="L151" s="622">
        <v>634.69000000000005</v>
      </c>
      <c r="M151" s="622">
        <v>581.6</v>
      </c>
      <c r="N151" s="622">
        <v>1496.62</v>
      </c>
      <c r="O151" s="622">
        <v>1603.14</v>
      </c>
      <c r="P151" s="622">
        <v>1758.57</v>
      </c>
      <c r="Q151" s="622">
        <v>1038.79</v>
      </c>
      <c r="R151" s="622">
        <v>431.71</v>
      </c>
      <c r="S151" s="622">
        <v>469.02</v>
      </c>
      <c r="T151" s="622">
        <v>370.13</v>
      </c>
      <c r="U151" s="622">
        <v>399.93</v>
      </c>
      <c r="V151" s="622">
        <v>787.3</v>
      </c>
      <c r="W151" s="622">
        <v>1023.52</v>
      </c>
      <c r="X151" s="622">
        <v>525.21</v>
      </c>
      <c r="Y151" s="622">
        <v>530.15</v>
      </c>
      <c r="Z151" s="622">
        <v>1409.99</v>
      </c>
      <c r="AA151" s="622">
        <v>0</v>
      </c>
      <c r="AB151" s="622">
        <v>1721.41</v>
      </c>
      <c r="AC151" s="622">
        <v>3442.83</v>
      </c>
      <c r="AD151" s="622">
        <v>3442.83</v>
      </c>
      <c r="AE151" s="622">
        <v>3442.83</v>
      </c>
      <c r="AF151" s="623">
        <f t="shared" si="6"/>
        <v>858.11555555555549</v>
      </c>
      <c r="AG151" s="623">
        <f t="shared" si="7"/>
        <v>626.03500000000008</v>
      </c>
      <c r="AH151" s="398"/>
      <c r="AI151" s="398"/>
    </row>
    <row r="152" spans="1:35">
      <c r="A152" s="398"/>
      <c r="B152" s="398"/>
      <c r="C152" s="398"/>
      <c r="D152" s="696" t="s">
        <v>808</v>
      </c>
      <c r="E152" s="398"/>
      <c r="F152" s="624">
        <f>ROI!G78</f>
        <v>33.649808750000005</v>
      </c>
      <c r="G152" s="624">
        <v>155.63999999999999</v>
      </c>
      <c r="H152" s="624">
        <v>471.83</v>
      </c>
      <c r="I152" s="622">
        <v>548.83000000000004</v>
      </c>
      <c r="J152" s="622">
        <v>548.83000000000004</v>
      </c>
      <c r="K152" s="622">
        <v>292.08</v>
      </c>
      <c r="L152" s="622">
        <v>14.39</v>
      </c>
      <c r="M152" s="622">
        <v>95.68</v>
      </c>
      <c r="N152" s="622">
        <v>500.42</v>
      </c>
      <c r="O152" s="622">
        <v>445.66</v>
      </c>
      <c r="P152" s="622">
        <v>238.16</v>
      </c>
      <c r="Q152" s="622">
        <v>224.29</v>
      </c>
      <c r="R152" s="622">
        <v>233</v>
      </c>
      <c r="S152" s="622">
        <v>241.67</v>
      </c>
      <c r="T152" s="622">
        <v>287.51</v>
      </c>
      <c r="U152" s="622">
        <v>125.59</v>
      </c>
      <c r="V152" s="622">
        <v>611.83000000000004</v>
      </c>
      <c r="W152" s="622">
        <v>650.17999999999995</v>
      </c>
      <c r="X152" s="622">
        <v>533.17999999999995</v>
      </c>
      <c r="Y152" s="622">
        <v>293.27999999999997</v>
      </c>
      <c r="Z152" s="622">
        <v>2698.31</v>
      </c>
      <c r="AA152" s="622">
        <v>0</v>
      </c>
      <c r="AB152" s="622">
        <v>940.89</v>
      </c>
      <c r="AC152" s="622">
        <v>1881.77</v>
      </c>
      <c r="AD152" s="622">
        <v>1881.77</v>
      </c>
      <c r="AE152" s="622">
        <v>1881.77</v>
      </c>
      <c r="AF152" s="623">
        <f t="shared" si="6"/>
        <v>476.8272222222223</v>
      </c>
      <c r="AG152" s="623">
        <f t="shared" si="7"/>
        <v>292.67999999999995</v>
      </c>
      <c r="AH152" s="398"/>
      <c r="AI152" s="398"/>
    </row>
    <row r="153" spans="1:35">
      <c r="A153" s="398"/>
      <c r="B153" s="398"/>
      <c r="C153" s="398"/>
      <c r="D153" s="696" t="s">
        <v>28</v>
      </c>
      <c r="E153" s="398"/>
      <c r="F153" s="624">
        <f>ROI!G79</f>
        <v>401.71674753961111</v>
      </c>
      <c r="G153" s="624">
        <v>785.38</v>
      </c>
      <c r="H153" s="624">
        <v>701.29</v>
      </c>
      <c r="I153" s="622">
        <v>1010.01</v>
      </c>
      <c r="J153" s="622">
        <v>1010.01</v>
      </c>
      <c r="K153" s="622">
        <v>921.69</v>
      </c>
      <c r="L153" s="622">
        <v>894.88</v>
      </c>
      <c r="M153" s="622">
        <v>668.2</v>
      </c>
      <c r="N153" s="622">
        <v>1707.62</v>
      </c>
      <c r="O153" s="622">
        <v>566.75</v>
      </c>
      <c r="P153" s="622">
        <v>108.49</v>
      </c>
      <c r="Q153" s="622">
        <v>1447.74</v>
      </c>
      <c r="R153" s="622">
        <v>3755.83</v>
      </c>
      <c r="S153" s="622">
        <v>2932.24</v>
      </c>
      <c r="T153" s="622">
        <v>1885.03</v>
      </c>
      <c r="U153" s="622">
        <v>125.24</v>
      </c>
      <c r="V153" s="622">
        <v>1374.08</v>
      </c>
      <c r="W153" s="622">
        <v>2356.48</v>
      </c>
      <c r="X153" s="622">
        <v>2130.81</v>
      </c>
      <c r="Y153" s="622">
        <v>1342.37</v>
      </c>
      <c r="Z153" s="622">
        <v>1943.9</v>
      </c>
      <c r="AA153" s="622">
        <v>0</v>
      </c>
      <c r="AB153" s="622">
        <v>3422.02</v>
      </c>
      <c r="AC153" s="622">
        <v>6844.05</v>
      </c>
      <c r="AD153" s="622">
        <v>6844.05</v>
      </c>
      <c r="AE153" s="622">
        <v>6844.05</v>
      </c>
      <c r="AF153" s="623">
        <f t="shared" si="6"/>
        <v>1454.5205555555556</v>
      </c>
      <c r="AG153" s="623">
        <f t="shared" si="7"/>
        <v>1358.2249999999999</v>
      </c>
      <c r="AH153" s="398"/>
      <c r="AI153" s="398"/>
    </row>
    <row r="154" spans="1:35" ht="13.5" thickBot="1">
      <c r="A154" s="398"/>
      <c r="B154" s="398"/>
      <c r="C154" s="398"/>
      <c r="D154" s="696" t="s">
        <v>809</v>
      </c>
      <c r="E154" s="398"/>
      <c r="F154" s="624">
        <f>ROI!G80</f>
        <v>138.20688772568315</v>
      </c>
      <c r="G154" s="624">
        <v>471.32</v>
      </c>
      <c r="H154" s="624">
        <v>471.32</v>
      </c>
      <c r="I154" s="622">
        <v>1590.71</v>
      </c>
      <c r="J154" s="622">
        <v>1590.71</v>
      </c>
      <c r="K154" s="622">
        <v>176.75</v>
      </c>
      <c r="L154" s="622">
        <v>0</v>
      </c>
      <c r="M154" s="622">
        <v>972.1</v>
      </c>
      <c r="N154" s="622">
        <v>848.38</v>
      </c>
      <c r="O154" s="622">
        <v>0</v>
      </c>
      <c r="P154" s="622">
        <v>397.68</v>
      </c>
      <c r="Q154" s="622">
        <v>1590.71</v>
      </c>
      <c r="R154" s="622">
        <v>1431.64</v>
      </c>
      <c r="S154" s="622">
        <v>3499.55</v>
      </c>
      <c r="T154" s="622">
        <v>4772.12</v>
      </c>
      <c r="U154" s="622">
        <v>7988.88</v>
      </c>
      <c r="V154" s="622">
        <v>5894.45</v>
      </c>
      <c r="W154" s="622">
        <v>7470.43</v>
      </c>
      <c r="X154" s="622">
        <v>4568.8599999999997</v>
      </c>
      <c r="Y154" s="622">
        <v>12772.78</v>
      </c>
      <c r="Z154" s="622">
        <v>12928.91</v>
      </c>
      <c r="AA154" s="622">
        <v>0</v>
      </c>
      <c r="AB154" s="622">
        <v>12416.35</v>
      </c>
      <c r="AC154" s="622">
        <v>24832.69</v>
      </c>
      <c r="AD154" s="622">
        <v>24832.69</v>
      </c>
      <c r="AE154" s="622">
        <v>24832.69</v>
      </c>
      <c r="AF154" s="623">
        <f t="shared" si="6"/>
        <v>3805.258888888889</v>
      </c>
      <c r="AG154" s="623">
        <f t="shared" si="7"/>
        <v>1590.71</v>
      </c>
      <c r="AH154" s="398"/>
      <c r="AI154" s="398"/>
    </row>
    <row r="155" spans="1:35" s="28" customFormat="1" ht="13.5" thickTop="1">
      <c r="A155" s="398"/>
      <c r="B155" s="398"/>
      <c r="C155" s="398"/>
      <c r="D155" s="38" t="s">
        <v>259</v>
      </c>
      <c r="E155" s="398"/>
      <c r="F155" s="625">
        <f>ROI!G81</f>
        <v>1057.058692141946</v>
      </c>
      <c r="G155" s="625">
        <v>2848.46</v>
      </c>
      <c r="H155" s="625">
        <v>3093.96</v>
      </c>
      <c r="I155" s="627">
        <v>3766.92</v>
      </c>
      <c r="J155" s="627">
        <v>3766.92</v>
      </c>
      <c r="K155" s="627">
        <v>2541.46</v>
      </c>
      <c r="L155" s="627">
        <v>1543.95</v>
      </c>
      <c r="M155" s="627">
        <v>2317.59</v>
      </c>
      <c r="N155" s="627">
        <v>4553.04</v>
      </c>
      <c r="O155" s="627">
        <v>2615.5500000000002</v>
      </c>
      <c r="P155" s="627">
        <v>2502.91</v>
      </c>
      <c r="Q155" s="627">
        <v>4301.53</v>
      </c>
      <c r="R155" s="627">
        <v>5852.18</v>
      </c>
      <c r="S155" s="627">
        <v>7142.48</v>
      </c>
      <c r="T155" s="627">
        <v>7314.78</v>
      </c>
      <c r="U155" s="627">
        <v>8639.64</v>
      </c>
      <c r="V155" s="627">
        <v>8667.66</v>
      </c>
      <c r="W155" s="627">
        <v>11500.6</v>
      </c>
      <c r="X155" s="627">
        <v>7758.06</v>
      </c>
      <c r="Y155" s="627">
        <v>14938.57</v>
      </c>
      <c r="Z155" s="627">
        <v>18981.11</v>
      </c>
      <c r="AA155" s="627">
        <v>0</v>
      </c>
      <c r="AB155" s="627">
        <v>18500.669999999998</v>
      </c>
      <c r="AC155" s="627">
        <v>37001.339999999997</v>
      </c>
      <c r="AD155" s="627">
        <v>37001.339999999997</v>
      </c>
      <c r="AE155" s="627">
        <v>37001.339999999997</v>
      </c>
      <c r="AF155" s="628">
        <f t="shared" si="6"/>
        <v>6594.719444444444</v>
      </c>
      <c r="AG155" s="628">
        <f t="shared" si="7"/>
        <v>5202.6100000000006</v>
      </c>
      <c r="AH155" s="398"/>
      <c r="AI155" s="398"/>
    </row>
    <row r="156" spans="1:35">
      <c r="A156" s="398"/>
      <c r="B156" s="398"/>
      <c r="C156" s="398"/>
      <c r="D156" s="398"/>
      <c r="E156" s="398"/>
      <c r="F156" s="619"/>
      <c r="G156" s="619"/>
      <c r="H156" s="619"/>
      <c r="I156" s="620"/>
      <c r="J156" s="620"/>
      <c r="K156" s="620"/>
      <c r="L156" s="620"/>
      <c r="M156" s="620"/>
      <c r="N156" s="620"/>
      <c r="O156" s="620"/>
      <c r="P156" s="620"/>
      <c r="Q156" s="620"/>
      <c r="R156" s="620"/>
      <c r="S156" s="620"/>
      <c r="T156" s="620"/>
      <c r="U156" s="620"/>
      <c r="V156" s="620"/>
      <c r="W156" s="620"/>
      <c r="X156" s="620"/>
      <c r="Y156" s="620"/>
      <c r="Z156" s="620"/>
      <c r="AA156" s="620"/>
      <c r="AB156" s="620"/>
      <c r="AC156" s="620"/>
      <c r="AD156" s="620"/>
      <c r="AE156" s="620"/>
      <c r="AF156" s="629"/>
      <c r="AG156" s="629"/>
      <c r="AH156" s="398"/>
      <c r="AI156" s="398"/>
    </row>
    <row r="157" spans="1:35" s="105" customFormat="1" ht="14.25">
      <c r="A157" s="398"/>
      <c r="B157" s="398"/>
      <c r="C157" s="8" t="s">
        <v>1232</v>
      </c>
      <c r="D157" s="398"/>
      <c r="E157" s="398"/>
      <c r="F157" s="619"/>
      <c r="G157" s="619"/>
      <c r="H157" s="619"/>
      <c r="I157" s="620"/>
      <c r="J157" s="620"/>
      <c r="K157" s="620"/>
      <c r="L157" s="620"/>
      <c r="M157" s="620"/>
      <c r="N157" s="620"/>
      <c r="O157" s="620"/>
      <c r="P157" s="620"/>
      <c r="Q157" s="620"/>
      <c r="R157" s="620"/>
      <c r="S157" s="620"/>
      <c r="T157" s="620"/>
      <c r="U157" s="620"/>
      <c r="V157" s="620"/>
      <c r="W157" s="620"/>
      <c r="X157" s="620"/>
      <c r="Y157" s="620"/>
      <c r="Z157" s="620"/>
      <c r="AA157" s="620"/>
      <c r="AB157" s="620"/>
      <c r="AC157" s="620"/>
      <c r="AD157" s="620"/>
      <c r="AE157" s="620"/>
      <c r="AF157" s="629"/>
      <c r="AG157" s="629"/>
      <c r="AH157" s="398"/>
      <c r="AI157" s="398"/>
    </row>
    <row r="158" spans="1:35" s="105" customFormat="1">
      <c r="A158" s="398"/>
      <c r="B158" s="398"/>
      <c r="C158" s="398"/>
      <c r="D158" s="36" t="s">
        <v>1233</v>
      </c>
      <c r="E158" s="398"/>
      <c r="F158" s="624">
        <f>TCO!F10</f>
        <v>15090.148891571962</v>
      </c>
      <c r="G158" s="624">
        <v>14341.92</v>
      </c>
      <c r="H158" s="624">
        <v>14450.85</v>
      </c>
      <c r="I158" s="630">
        <v>14341.92</v>
      </c>
      <c r="J158" s="630">
        <v>14341.92</v>
      </c>
      <c r="K158" s="630">
        <v>14341.92</v>
      </c>
      <c r="L158" s="630">
        <v>14341.92</v>
      </c>
      <c r="M158" s="630">
        <v>14341.92</v>
      </c>
      <c r="N158" s="630">
        <v>14341.92</v>
      </c>
      <c r="O158" s="630">
        <v>14341.92</v>
      </c>
      <c r="P158" s="630">
        <v>14341.92</v>
      </c>
      <c r="Q158" s="630">
        <v>14341.92</v>
      </c>
      <c r="R158" s="630">
        <v>14341.92</v>
      </c>
      <c r="S158" s="630">
        <v>14341.92</v>
      </c>
      <c r="T158" s="630">
        <v>14341.92</v>
      </c>
      <c r="U158" s="630">
        <v>14341.92</v>
      </c>
      <c r="V158" s="630">
        <v>14341.92</v>
      </c>
      <c r="W158" s="630">
        <v>14341.92</v>
      </c>
      <c r="X158" s="630">
        <v>14341.92</v>
      </c>
      <c r="Y158" s="630">
        <v>14341.92</v>
      </c>
      <c r="Z158" s="630">
        <v>14341.92</v>
      </c>
      <c r="AA158" s="630">
        <v>14341.92</v>
      </c>
      <c r="AB158" s="630">
        <v>14341.92</v>
      </c>
      <c r="AC158" s="630">
        <v>14341.92</v>
      </c>
      <c r="AD158" s="630">
        <v>14341.92</v>
      </c>
      <c r="AE158" s="630">
        <v>14341.92</v>
      </c>
      <c r="AF158" s="631">
        <f t="shared" si="6"/>
        <v>14341.920000000006</v>
      </c>
      <c r="AG158" s="631">
        <f t="shared" si="7"/>
        <v>14341.92</v>
      </c>
      <c r="AH158" s="398"/>
      <c r="AI158" s="398"/>
    </row>
    <row r="159" spans="1:35" s="105" customFormat="1">
      <c r="A159" s="398"/>
      <c r="B159" s="398"/>
      <c r="C159" s="398"/>
      <c r="D159" s="696" t="s">
        <v>1234</v>
      </c>
      <c r="E159" s="398"/>
      <c r="F159" s="109">
        <f>TCO!I8</f>
        <v>6.4079586172495267E-3</v>
      </c>
      <c r="G159" s="109">
        <v>2.5033737201744562E-2</v>
      </c>
      <c r="H159" s="109">
        <v>2.5076711300032275E-2</v>
      </c>
      <c r="I159" s="115">
        <v>1.4348968326076749E-2</v>
      </c>
      <c r="J159" s="115">
        <v>1.4348968326076749E-2</v>
      </c>
      <c r="K159" s="115">
        <v>2.6750170738177294E-2</v>
      </c>
      <c r="L159" s="115">
        <v>1.1063493645702057E-2</v>
      </c>
      <c r="M159" s="115">
        <v>1.3517572161337569E-2</v>
      </c>
      <c r="N159" s="115">
        <v>2.6088209680557799E-2</v>
      </c>
      <c r="O159" s="115">
        <v>3.7260090527584118E-2</v>
      </c>
      <c r="P159" s="115">
        <v>4.0872586318118673E-2</v>
      </c>
      <c r="Q159" s="115">
        <v>2.4143493675347776E-2</v>
      </c>
      <c r="R159" s="115">
        <v>1.003369644592475E-2</v>
      </c>
      <c r="S159" s="115">
        <v>1.0900896200483616E-2</v>
      </c>
      <c r="T159" s="115">
        <v>8.6024719174026178E-3</v>
      </c>
      <c r="U159" s="115">
        <v>9.2952390859671174E-3</v>
      </c>
      <c r="V159" s="115">
        <v>1.8298310552751908E-2</v>
      </c>
      <c r="W159" s="115">
        <v>1.7841394090835704E-2</v>
      </c>
      <c r="X159" s="115">
        <v>1.2206789932750607E-2</v>
      </c>
      <c r="Y159" s="115">
        <v>9.2411892198760223E-3</v>
      </c>
      <c r="Z159" s="115">
        <v>1.404461473146322E-2</v>
      </c>
      <c r="AA159" s="115">
        <v>0</v>
      </c>
      <c r="AB159" s="115">
        <v>4.0008933861969721E-2</v>
      </c>
      <c r="AC159" s="115">
        <v>8.0017867723939443E-2</v>
      </c>
      <c r="AD159" s="115">
        <v>8.0017867723939443E-2</v>
      </c>
      <c r="AE159" s="115">
        <v>8.0017867723939443E-2</v>
      </c>
      <c r="AF159" s="119">
        <f t="shared" si="6"/>
        <v>1.7714341976468574E-2</v>
      </c>
      <c r="AG159" s="119">
        <f t="shared" si="7"/>
        <v>1.4196791528769985E-2</v>
      </c>
      <c r="AH159" s="398"/>
      <c r="AI159" s="398"/>
    </row>
    <row r="160" spans="1:35" ht="15">
      <c r="A160" s="398"/>
      <c r="B160" s="6" t="s">
        <v>1235</v>
      </c>
      <c r="C160" s="398"/>
      <c r="D160" s="398"/>
      <c r="E160" s="398"/>
      <c r="F160" s="619"/>
      <c r="G160" s="619"/>
      <c r="H160" s="619"/>
      <c r="I160" s="620"/>
      <c r="J160" s="620"/>
      <c r="K160" s="620"/>
      <c r="L160" s="620"/>
      <c r="M160" s="620"/>
      <c r="N160" s="620"/>
      <c r="O160" s="620"/>
      <c r="P160" s="620"/>
      <c r="Q160" s="620"/>
      <c r="R160" s="620"/>
      <c r="S160" s="620"/>
      <c r="T160" s="620"/>
      <c r="U160" s="620"/>
      <c r="V160" s="620"/>
      <c r="W160" s="620"/>
      <c r="X160" s="620"/>
      <c r="Y160" s="620"/>
      <c r="Z160" s="620"/>
      <c r="AA160" s="620"/>
      <c r="AB160" s="620"/>
      <c r="AC160" s="620"/>
      <c r="AD160" s="620"/>
      <c r="AE160" s="620"/>
      <c r="AF160" s="629"/>
      <c r="AG160" s="629"/>
      <c r="AH160" s="398"/>
      <c r="AI160" s="398"/>
    </row>
    <row r="161" spans="1:35" s="105" customFormat="1" ht="14.25">
      <c r="A161" s="398"/>
      <c r="B161" s="398"/>
      <c r="C161" s="8" t="s">
        <v>1231</v>
      </c>
      <c r="D161" s="398"/>
      <c r="E161" s="398"/>
      <c r="F161" s="619"/>
      <c r="G161" s="619"/>
      <c r="H161" s="619"/>
      <c r="I161" s="620"/>
      <c r="J161" s="620"/>
      <c r="K161" s="620"/>
      <c r="L161" s="620"/>
      <c r="M161" s="620"/>
      <c r="N161" s="620"/>
      <c r="O161" s="620"/>
      <c r="P161" s="620"/>
      <c r="Q161" s="620"/>
      <c r="R161" s="620"/>
      <c r="S161" s="620"/>
      <c r="T161" s="620"/>
      <c r="U161" s="620"/>
      <c r="V161" s="620"/>
      <c r="W161" s="620"/>
      <c r="X161" s="620"/>
      <c r="Y161" s="620"/>
      <c r="Z161" s="620"/>
      <c r="AA161" s="620"/>
      <c r="AB161" s="620"/>
      <c r="AC161" s="620"/>
      <c r="AD161" s="620"/>
      <c r="AE161" s="620"/>
      <c r="AF161" s="629"/>
      <c r="AG161" s="629"/>
      <c r="AH161" s="398"/>
      <c r="AI161" s="398"/>
    </row>
    <row r="162" spans="1:35" s="105" customFormat="1">
      <c r="A162" s="398"/>
      <c r="B162" s="398"/>
      <c r="C162" s="398"/>
      <c r="D162" s="696" t="str">
        <f>TCO!C22</f>
        <v>Hardware</v>
      </c>
      <c r="E162" s="398"/>
      <c r="F162" s="624">
        <f>TCO!J22</f>
        <v>17.872096949778477</v>
      </c>
      <c r="G162" s="624">
        <v>80.400000000000006</v>
      </c>
      <c r="H162" s="624">
        <v>79.62</v>
      </c>
      <c r="I162" s="622">
        <v>0</v>
      </c>
      <c r="J162" s="622">
        <v>0</v>
      </c>
      <c r="K162" s="622">
        <v>6.62</v>
      </c>
      <c r="L162" s="622">
        <v>15.13</v>
      </c>
      <c r="M162" s="622">
        <v>0</v>
      </c>
      <c r="N162" s="622">
        <v>0</v>
      </c>
      <c r="O162" s="622">
        <v>49.78</v>
      </c>
      <c r="P162" s="622">
        <v>135.74</v>
      </c>
      <c r="Q162" s="622">
        <v>0</v>
      </c>
      <c r="R162" s="622">
        <v>0</v>
      </c>
      <c r="S162" s="622">
        <v>0</v>
      </c>
      <c r="T162" s="622">
        <v>0</v>
      </c>
      <c r="U162" s="622">
        <v>0</v>
      </c>
      <c r="V162" s="622">
        <v>0</v>
      </c>
      <c r="W162" s="622">
        <v>19.149999999999999</v>
      </c>
      <c r="X162" s="622">
        <v>0</v>
      </c>
      <c r="Y162" s="622">
        <v>0</v>
      </c>
      <c r="Z162" s="622">
        <v>0</v>
      </c>
      <c r="AA162" s="622">
        <v>0</v>
      </c>
      <c r="AB162" s="622">
        <v>96.95</v>
      </c>
      <c r="AC162" s="622">
        <v>193.91</v>
      </c>
      <c r="AD162" s="622">
        <v>193.91</v>
      </c>
      <c r="AE162" s="622">
        <v>193.91</v>
      </c>
      <c r="AF162" s="623">
        <f t="shared" si="6"/>
        <v>12.578888888888891</v>
      </c>
      <c r="AG162" s="623">
        <f t="shared" si="7"/>
        <v>0</v>
      </c>
      <c r="AH162" s="398"/>
      <c r="AI162" s="398"/>
    </row>
    <row r="163" spans="1:35" s="105" customFormat="1">
      <c r="A163" s="398"/>
      <c r="B163" s="398"/>
      <c r="C163" s="398"/>
      <c r="D163" s="696" t="str">
        <f>TCO!C23</f>
        <v>Software</v>
      </c>
      <c r="E163" s="398"/>
      <c r="F163" s="624">
        <f>TCO!J23</f>
        <v>17.092517698213481</v>
      </c>
      <c r="G163" s="624">
        <v>64.8</v>
      </c>
      <c r="H163" s="624">
        <v>64.17</v>
      </c>
      <c r="I163" s="622">
        <v>41.48</v>
      </c>
      <c r="J163" s="622">
        <v>41.48</v>
      </c>
      <c r="K163" s="622">
        <v>55.85</v>
      </c>
      <c r="L163" s="622">
        <v>7.95</v>
      </c>
      <c r="M163" s="622">
        <v>31.35</v>
      </c>
      <c r="N163" s="622">
        <v>87.86</v>
      </c>
      <c r="O163" s="622">
        <v>111.31</v>
      </c>
      <c r="P163" s="622">
        <v>74.349999999999994</v>
      </c>
      <c r="Q163" s="622">
        <v>11.77</v>
      </c>
      <c r="R163" s="622">
        <v>21.73</v>
      </c>
      <c r="S163" s="622">
        <v>0</v>
      </c>
      <c r="T163" s="622">
        <v>21</v>
      </c>
      <c r="U163" s="622">
        <v>18.98</v>
      </c>
      <c r="V163" s="622">
        <v>49.96</v>
      </c>
      <c r="W163" s="622">
        <v>53.15</v>
      </c>
      <c r="X163" s="622">
        <v>54.35</v>
      </c>
      <c r="Y163" s="622">
        <v>32.92</v>
      </c>
      <c r="Z163" s="622">
        <v>44.08</v>
      </c>
      <c r="AA163" s="622">
        <v>0</v>
      </c>
      <c r="AB163" s="622">
        <v>69.05</v>
      </c>
      <c r="AC163" s="622">
        <v>138.09</v>
      </c>
      <c r="AD163" s="622">
        <v>138.09</v>
      </c>
      <c r="AE163" s="622">
        <v>138.09</v>
      </c>
      <c r="AF163" s="623">
        <f t="shared" si="6"/>
        <v>42.198333333333338</v>
      </c>
      <c r="AG163" s="623">
        <f t="shared" si="7"/>
        <v>41.48</v>
      </c>
      <c r="AH163" s="398"/>
      <c r="AI163" s="398"/>
    </row>
    <row r="164" spans="1:35" s="105" customFormat="1">
      <c r="A164" s="398"/>
      <c r="B164" s="398"/>
      <c r="C164" s="398"/>
      <c r="D164" s="696" t="str">
        <f>TCO!C24</f>
        <v>Internal IT Staff</v>
      </c>
      <c r="E164" s="398"/>
      <c r="F164" s="624">
        <f>TCO!J24</f>
        <v>27.051671280901736</v>
      </c>
      <c r="G164" s="624">
        <v>75.02</v>
      </c>
      <c r="H164" s="624">
        <v>81.13</v>
      </c>
      <c r="I164" s="622">
        <v>91.42</v>
      </c>
      <c r="J164" s="622">
        <v>91.42</v>
      </c>
      <c r="K164" s="622">
        <v>120.93</v>
      </c>
      <c r="L164" s="622">
        <v>57.58</v>
      </c>
      <c r="M164" s="622">
        <v>55.94</v>
      </c>
      <c r="N164" s="622">
        <v>142.12</v>
      </c>
      <c r="O164" s="622">
        <v>69.22</v>
      </c>
      <c r="P164" s="622">
        <v>87.6</v>
      </c>
      <c r="Q164" s="622">
        <v>11.84</v>
      </c>
      <c r="R164" s="622">
        <v>24.24</v>
      </c>
      <c r="S164" s="622">
        <v>29.63</v>
      </c>
      <c r="T164" s="622">
        <v>38.26</v>
      </c>
      <c r="U164" s="622">
        <v>41.32</v>
      </c>
      <c r="V164" s="622">
        <v>69.78</v>
      </c>
      <c r="W164" s="622">
        <v>56.05</v>
      </c>
      <c r="X164" s="622">
        <v>45.66</v>
      </c>
      <c r="Y164" s="622">
        <v>33.9</v>
      </c>
      <c r="Z164" s="622">
        <v>52.04</v>
      </c>
      <c r="AA164" s="622">
        <v>0</v>
      </c>
      <c r="AB164" s="622">
        <v>103.68</v>
      </c>
      <c r="AC164" s="622">
        <v>207.35</v>
      </c>
      <c r="AD164" s="622">
        <v>207.35</v>
      </c>
      <c r="AE164" s="622">
        <v>207.35</v>
      </c>
      <c r="AF164" s="623">
        <f t="shared" si="6"/>
        <v>62.163888888888891</v>
      </c>
      <c r="AG164" s="623">
        <f t="shared" si="7"/>
        <v>55.994999999999997</v>
      </c>
      <c r="AH164" s="398"/>
      <c r="AI164" s="398"/>
    </row>
    <row r="165" spans="1:35" s="105" customFormat="1">
      <c r="A165" s="398"/>
      <c r="B165" s="398"/>
      <c r="C165" s="398"/>
      <c r="D165" s="696" t="str">
        <f>TCO!C25</f>
        <v>External IT Services</v>
      </c>
      <c r="E165" s="398"/>
      <c r="F165" s="624">
        <f>TCO!J25</f>
        <v>27.121109294331262</v>
      </c>
      <c r="G165" s="624">
        <v>103.91</v>
      </c>
      <c r="H165" s="624">
        <v>102.9</v>
      </c>
      <c r="I165" s="622">
        <v>38</v>
      </c>
      <c r="J165" s="622">
        <v>38</v>
      </c>
      <c r="K165" s="622">
        <v>79.19</v>
      </c>
      <c r="L165" s="622">
        <v>46.1</v>
      </c>
      <c r="M165" s="622">
        <v>106.58</v>
      </c>
      <c r="N165" s="622">
        <v>141.19</v>
      </c>
      <c r="O165" s="622">
        <v>133.65</v>
      </c>
      <c r="P165" s="622">
        <v>148.22</v>
      </c>
      <c r="Q165" s="622">
        <v>21.86</v>
      </c>
      <c r="R165" s="622">
        <v>43.53</v>
      </c>
      <c r="S165" s="622">
        <v>64.12</v>
      </c>
      <c r="T165" s="622">
        <v>64.12</v>
      </c>
      <c r="U165" s="622">
        <v>73</v>
      </c>
      <c r="V165" s="622">
        <v>142.69</v>
      </c>
      <c r="W165" s="622">
        <v>84.72</v>
      </c>
      <c r="X165" s="622">
        <v>75.05</v>
      </c>
      <c r="Y165" s="622">
        <v>65.72</v>
      </c>
      <c r="Z165" s="622">
        <v>105.31</v>
      </c>
      <c r="AA165" s="622">
        <v>0</v>
      </c>
      <c r="AB165" s="622">
        <v>143.31</v>
      </c>
      <c r="AC165" s="622">
        <v>286.62</v>
      </c>
      <c r="AD165" s="622">
        <v>286.62</v>
      </c>
      <c r="AE165" s="622">
        <v>286.62</v>
      </c>
      <c r="AF165" s="623">
        <f t="shared" si="6"/>
        <v>81.724999999999994</v>
      </c>
      <c r="AG165" s="623">
        <f t="shared" si="7"/>
        <v>74.025000000000006</v>
      </c>
      <c r="AH165" s="398"/>
      <c r="AI165" s="398"/>
    </row>
    <row r="166" spans="1:35" s="105" customFormat="1" ht="13.5" thickBot="1">
      <c r="A166" s="398"/>
      <c r="B166" s="398"/>
      <c r="C166" s="398"/>
      <c r="D166" s="696" t="str">
        <f>TCO!C26</f>
        <v>Telecom / Networking</v>
      </c>
      <c r="E166" s="398"/>
      <c r="F166" s="624">
        <f>TCO!J26</f>
        <v>7.5596544021053962</v>
      </c>
      <c r="G166" s="624">
        <v>34.89</v>
      </c>
      <c r="H166" s="624">
        <v>34.549999999999997</v>
      </c>
      <c r="I166" s="622">
        <v>34.89</v>
      </c>
      <c r="J166" s="622">
        <v>34.89</v>
      </c>
      <c r="K166" s="622">
        <v>121.07</v>
      </c>
      <c r="L166" s="622">
        <v>31.92</v>
      </c>
      <c r="M166" s="622">
        <v>0</v>
      </c>
      <c r="N166" s="622">
        <v>2.98</v>
      </c>
      <c r="O166" s="622">
        <v>170.43</v>
      </c>
      <c r="P166" s="622">
        <v>140.29</v>
      </c>
      <c r="Q166" s="622">
        <v>300.77999999999997</v>
      </c>
      <c r="R166" s="622">
        <v>54.4</v>
      </c>
      <c r="S166" s="622">
        <v>62.59</v>
      </c>
      <c r="T166" s="622">
        <v>0</v>
      </c>
      <c r="U166" s="622">
        <v>0</v>
      </c>
      <c r="V166" s="622">
        <v>0</v>
      </c>
      <c r="W166" s="622">
        <v>42.8</v>
      </c>
      <c r="X166" s="622">
        <v>0</v>
      </c>
      <c r="Y166" s="622">
        <v>0</v>
      </c>
      <c r="Z166" s="622">
        <v>0</v>
      </c>
      <c r="AA166" s="622">
        <v>0</v>
      </c>
      <c r="AB166" s="622">
        <v>160.82</v>
      </c>
      <c r="AC166" s="622">
        <v>321.64</v>
      </c>
      <c r="AD166" s="622">
        <v>321.64</v>
      </c>
      <c r="AE166" s="622">
        <v>321.64</v>
      </c>
      <c r="AF166" s="623">
        <f t="shared" si="6"/>
        <v>55.391111111111101</v>
      </c>
      <c r="AG166" s="623">
        <f t="shared" si="7"/>
        <v>33.405000000000001</v>
      </c>
      <c r="AH166" s="398"/>
      <c r="AI166" s="398"/>
    </row>
    <row r="167" spans="1:35" s="105" customFormat="1" ht="13.5" thickTop="1">
      <c r="A167" s="398"/>
      <c r="B167" s="398"/>
      <c r="C167" s="398"/>
      <c r="D167" s="36" t="s">
        <v>259</v>
      </c>
      <c r="E167" s="398"/>
      <c r="F167" s="625">
        <f>SUM(F162:F166)</f>
        <v>96.697049625330351</v>
      </c>
      <c r="G167" s="625">
        <v>359.03</v>
      </c>
      <c r="H167" s="625">
        <v>362.38</v>
      </c>
      <c r="I167" s="627">
        <v>205.79</v>
      </c>
      <c r="J167" s="627">
        <v>205.79</v>
      </c>
      <c r="K167" s="627">
        <v>383.65</v>
      </c>
      <c r="L167" s="627">
        <v>158.66999999999999</v>
      </c>
      <c r="M167" s="627">
        <v>193.87</v>
      </c>
      <c r="N167" s="627">
        <v>374.16</v>
      </c>
      <c r="O167" s="627">
        <v>534.38</v>
      </c>
      <c r="P167" s="627">
        <v>586.19000000000005</v>
      </c>
      <c r="Q167" s="627">
        <v>346.26</v>
      </c>
      <c r="R167" s="627">
        <v>143.9</v>
      </c>
      <c r="S167" s="627">
        <v>156.34</v>
      </c>
      <c r="T167" s="627">
        <v>123.38</v>
      </c>
      <c r="U167" s="627">
        <v>133.31</v>
      </c>
      <c r="V167" s="627">
        <v>262.43</v>
      </c>
      <c r="W167" s="627">
        <v>255.88</v>
      </c>
      <c r="X167" s="627">
        <v>175.07</v>
      </c>
      <c r="Y167" s="627">
        <v>132.54</v>
      </c>
      <c r="Z167" s="627">
        <v>201.43</v>
      </c>
      <c r="AA167" s="627">
        <v>0</v>
      </c>
      <c r="AB167" s="627">
        <v>573.80999999999995</v>
      </c>
      <c r="AC167" s="627">
        <v>1147.6099999999999</v>
      </c>
      <c r="AD167" s="627">
        <v>1147.6099999999999</v>
      </c>
      <c r="AE167" s="627">
        <v>1147.6099999999999</v>
      </c>
      <c r="AF167" s="628">
        <f t="shared" si="6"/>
        <v>254.05777777777783</v>
      </c>
      <c r="AG167" s="628">
        <f t="shared" si="7"/>
        <v>203.61</v>
      </c>
      <c r="AH167" s="398"/>
      <c r="AI167" s="398"/>
    </row>
    <row r="168" spans="1:35">
      <c r="A168" s="398"/>
      <c r="B168" s="398"/>
      <c r="C168" s="398"/>
      <c r="D168" s="696" t="s">
        <v>434</v>
      </c>
      <c r="E168" s="398"/>
      <c r="F168" s="624">
        <f>'Direct Savings'!J13/ProjectTtlMultBen</f>
        <v>6.7299617500000011</v>
      </c>
      <c r="G168" s="624">
        <v>38.909999999999997</v>
      </c>
      <c r="H168" s="624">
        <v>117.96</v>
      </c>
      <c r="I168" s="622">
        <v>168.27</v>
      </c>
      <c r="J168" s="622">
        <v>168.27</v>
      </c>
      <c r="K168" s="622">
        <v>82.69</v>
      </c>
      <c r="L168" s="622">
        <v>3.6</v>
      </c>
      <c r="M168" s="622">
        <v>10.02</v>
      </c>
      <c r="N168" s="622">
        <v>117.91</v>
      </c>
      <c r="O168" s="622">
        <v>84.15</v>
      </c>
      <c r="P168" s="622">
        <v>76.989999999999995</v>
      </c>
      <c r="Q168" s="622">
        <v>1.41</v>
      </c>
      <c r="R168" s="622">
        <v>0.39</v>
      </c>
      <c r="S168" s="622">
        <v>2.4</v>
      </c>
      <c r="T168" s="622">
        <v>31.44</v>
      </c>
      <c r="U168" s="622">
        <v>6.06</v>
      </c>
      <c r="V168" s="622">
        <v>63.01</v>
      </c>
      <c r="W168" s="622">
        <v>59.94</v>
      </c>
      <c r="X168" s="622">
        <v>77.53</v>
      </c>
      <c r="Y168" s="622">
        <v>35.119999999999997</v>
      </c>
      <c r="Z168" s="622">
        <v>51.47</v>
      </c>
      <c r="AA168" s="622" t="e">
        <v>#DIV/0!</v>
      </c>
      <c r="AB168" s="622">
        <v>109.95</v>
      </c>
      <c r="AC168" s="622">
        <v>219.9</v>
      </c>
      <c r="AD168" s="622">
        <v>219.9</v>
      </c>
      <c r="AE168" s="622">
        <v>219.9</v>
      </c>
      <c r="AF168" s="623">
        <f t="shared" si="6"/>
        <v>57.814999999999991</v>
      </c>
      <c r="AG168" s="623">
        <f t="shared" si="7"/>
        <v>55.704999999999998</v>
      </c>
      <c r="AH168" s="398"/>
      <c r="AI168" s="398"/>
    </row>
    <row r="169" spans="1:35" ht="13.5" thickBot="1">
      <c r="A169" s="398"/>
      <c r="B169" s="398"/>
      <c r="C169" s="398"/>
      <c r="D169" s="696" t="s">
        <v>440</v>
      </c>
      <c r="E169" s="398"/>
      <c r="F169" s="624">
        <f>'Direct Savings'!J19/ProjectTtlMultBen</f>
        <v>0</v>
      </c>
      <c r="G169" s="624">
        <v>0</v>
      </c>
      <c r="H169" s="624">
        <v>0</v>
      </c>
      <c r="I169" s="622">
        <v>14.67</v>
      </c>
      <c r="J169" s="622">
        <v>14.67</v>
      </c>
      <c r="K169" s="622">
        <v>14.67</v>
      </c>
      <c r="L169" s="622">
        <v>0</v>
      </c>
      <c r="M169" s="622">
        <v>21.87</v>
      </c>
      <c r="N169" s="622">
        <v>7.2</v>
      </c>
      <c r="O169" s="622">
        <v>64.400000000000006</v>
      </c>
      <c r="P169" s="622">
        <v>2.4</v>
      </c>
      <c r="Q169" s="622">
        <v>73.36</v>
      </c>
      <c r="R169" s="622">
        <v>77.28</v>
      </c>
      <c r="S169" s="622">
        <v>78.16</v>
      </c>
      <c r="T169" s="622">
        <v>64.400000000000006</v>
      </c>
      <c r="U169" s="622">
        <v>35.799999999999997</v>
      </c>
      <c r="V169" s="622">
        <v>140.94</v>
      </c>
      <c r="W169" s="622">
        <v>102.6</v>
      </c>
      <c r="X169" s="622">
        <v>100.2</v>
      </c>
      <c r="Y169" s="622">
        <v>38.200000000000003</v>
      </c>
      <c r="Z169" s="622">
        <v>334</v>
      </c>
      <c r="AA169" s="622" t="e">
        <v>#DIV/0!</v>
      </c>
      <c r="AB169" s="622">
        <v>203.68</v>
      </c>
      <c r="AC169" s="622">
        <v>407.36</v>
      </c>
      <c r="AD169" s="622">
        <v>407.36</v>
      </c>
      <c r="AE169" s="622">
        <v>407.36</v>
      </c>
      <c r="AF169" s="623">
        <f t="shared" si="6"/>
        <v>65.823333333333338</v>
      </c>
      <c r="AG169" s="623">
        <f t="shared" si="7"/>
        <v>51.300000000000004</v>
      </c>
      <c r="AH169" s="398"/>
      <c r="AI169" s="398"/>
    </row>
    <row r="170" spans="1:35" s="28" customFormat="1" ht="13.5" thickTop="1">
      <c r="A170" s="398"/>
      <c r="B170" s="398"/>
      <c r="C170" s="398"/>
      <c r="D170" s="36" t="s">
        <v>259</v>
      </c>
      <c r="E170" s="398"/>
      <c r="F170" s="625">
        <f>SUM(F168:F169)</f>
        <v>6.7299617500000011</v>
      </c>
      <c r="G170" s="625">
        <v>38.909999999999997</v>
      </c>
      <c r="H170" s="625">
        <v>117.96</v>
      </c>
      <c r="I170" s="627">
        <v>182.94</v>
      </c>
      <c r="J170" s="627">
        <v>182.94</v>
      </c>
      <c r="K170" s="627">
        <v>97.36</v>
      </c>
      <c r="L170" s="627">
        <v>3.6</v>
      </c>
      <c r="M170" s="627">
        <v>31.89</v>
      </c>
      <c r="N170" s="627">
        <v>125.11</v>
      </c>
      <c r="O170" s="627">
        <v>148.55000000000001</v>
      </c>
      <c r="P170" s="627">
        <v>79.39</v>
      </c>
      <c r="Q170" s="627">
        <v>74.760000000000005</v>
      </c>
      <c r="R170" s="627">
        <v>77.67</v>
      </c>
      <c r="S170" s="627">
        <v>80.56</v>
      </c>
      <c r="T170" s="627">
        <v>95.84</v>
      </c>
      <c r="U170" s="627">
        <v>41.86</v>
      </c>
      <c r="V170" s="627">
        <v>203.94</v>
      </c>
      <c r="W170" s="627">
        <v>162.54</v>
      </c>
      <c r="X170" s="627">
        <v>177.73</v>
      </c>
      <c r="Y170" s="627">
        <v>73.319999999999993</v>
      </c>
      <c r="Z170" s="627">
        <v>385.47</v>
      </c>
      <c r="AA170" s="627" t="e">
        <v>#DIV/0!</v>
      </c>
      <c r="AB170" s="627">
        <v>313.63</v>
      </c>
      <c r="AC170" s="627">
        <v>627.26</v>
      </c>
      <c r="AD170" s="627">
        <v>627.26</v>
      </c>
      <c r="AE170" s="627">
        <v>627.26</v>
      </c>
      <c r="AF170" s="628">
        <f t="shared" si="6"/>
        <v>123.63722222222221</v>
      </c>
      <c r="AG170" s="628">
        <f t="shared" si="7"/>
        <v>96.6</v>
      </c>
      <c r="AH170" s="398"/>
      <c r="AI170" s="398"/>
    </row>
    <row r="171" spans="1:35" ht="14.25">
      <c r="A171" s="398"/>
      <c r="B171" s="398"/>
      <c r="C171" s="8" t="s">
        <v>28</v>
      </c>
      <c r="D171" s="398"/>
      <c r="E171" s="398"/>
      <c r="F171" s="619"/>
      <c r="G171" s="619"/>
      <c r="H171" s="619"/>
      <c r="I171" s="620"/>
      <c r="J171" s="620"/>
      <c r="K171" s="620"/>
      <c r="L171" s="620"/>
      <c r="M171" s="620"/>
      <c r="N171" s="620"/>
      <c r="O171" s="620"/>
      <c r="P171" s="620"/>
      <c r="Q171" s="620"/>
      <c r="R171" s="620"/>
      <c r="S171" s="620"/>
      <c r="T171" s="620"/>
      <c r="U171" s="620"/>
      <c r="V171" s="620"/>
      <c r="W171" s="620"/>
      <c r="X171" s="620"/>
      <c r="Y171" s="620"/>
      <c r="Z171" s="620"/>
      <c r="AA171" s="620"/>
      <c r="AB171" s="620"/>
      <c r="AC171" s="620"/>
      <c r="AD171" s="620"/>
      <c r="AE171" s="620"/>
      <c r="AF171" s="629"/>
      <c r="AG171" s="629"/>
      <c r="AH171" s="398"/>
      <c r="AI171" s="398"/>
    </row>
    <row r="172" spans="1:35">
      <c r="A172" s="398"/>
      <c r="B172" s="398"/>
      <c r="C172" s="398"/>
      <c r="D172" s="696" t="s">
        <v>512</v>
      </c>
      <c r="E172" s="398"/>
      <c r="F172" s="624">
        <f>Productivity!H306</f>
        <v>42.931924765579652</v>
      </c>
      <c r="G172" s="624">
        <v>103.4</v>
      </c>
      <c r="H172" s="624">
        <v>93.68</v>
      </c>
      <c r="I172" s="622">
        <v>169.73</v>
      </c>
      <c r="J172" s="622">
        <v>169.73</v>
      </c>
      <c r="K172" s="622">
        <v>105.29</v>
      </c>
      <c r="L172" s="622">
        <v>166.96</v>
      </c>
      <c r="M172" s="622">
        <v>141.61000000000001</v>
      </c>
      <c r="N172" s="622">
        <v>296.7</v>
      </c>
      <c r="O172" s="622">
        <v>0</v>
      </c>
      <c r="P172" s="622">
        <v>0</v>
      </c>
      <c r="Q172" s="622">
        <v>245.92</v>
      </c>
      <c r="R172" s="622">
        <v>563.33000000000004</v>
      </c>
      <c r="S172" s="622">
        <v>70.760000000000005</v>
      </c>
      <c r="T172" s="622">
        <v>305.47000000000003</v>
      </c>
      <c r="U172" s="622">
        <v>12.74</v>
      </c>
      <c r="V172" s="622">
        <v>236.05</v>
      </c>
      <c r="W172" s="622">
        <v>287</v>
      </c>
      <c r="X172" s="622">
        <v>624.16999999999996</v>
      </c>
      <c r="Y172" s="622">
        <v>146.15</v>
      </c>
      <c r="Z172" s="622">
        <v>171.62</v>
      </c>
      <c r="AA172" s="622">
        <v>0</v>
      </c>
      <c r="AB172" s="622">
        <v>526.66999999999996</v>
      </c>
      <c r="AC172" s="622">
        <v>1053.3399999999999</v>
      </c>
      <c r="AD172" s="622">
        <v>1053.3399999999999</v>
      </c>
      <c r="AE172" s="622">
        <v>1053.3399999999999</v>
      </c>
      <c r="AF172" s="623">
        <f t="shared" si="6"/>
        <v>206.29055555555556</v>
      </c>
      <c r="AG172" s="623">
        <f t="shared" si="7"/>
        <v>169.73</v>
      </c>
      <c r="AH172" s="398"/>
      <c r="AI172" s="398"/>
    </row>
    <row r="173" spans="1:35">
      <c r="A173" s="398"/>
      <c r="B173" s="398"/>
      <c r="C173" s="398"/>
      <c r="D173" s="696" t="s">
        <v>513</v>
      </c>
      <c r="E173" s="398"/>
      <c r="F173" s="624">
        <f>Productivity!H307</f>
        <v>0</v>
      </c>
      <c r="G173" s="624">
        <v>0</v>
      </c>
      <c r="H173" s="624">
        <v>0</v>
      </c>
      <c r="I173" s="622">
        <v>0</v>
      </c>
      <c r="J173" s="622">
        <v>0</v>
      </c>
      <c r="K173" s="622">
        <v>61.72</v>
      </c>
      <c r="L173" s="622">
        <v>0</v>
      </c>
      <c r="M173" s="622">
        <v>0</v>
      </c>
      <c r="N173" s="622">
        <v>29.01</v>
      </c>
      <c r="O173" s="622">
        <v>70.209999999999994</v>
      </c>
      <c r="P173" s="622">
        <v>0</v>
      </c>
      <c r="Q173" s="622">
        <v>164.74</v>
      </c>
      <c r="R173" s="622">
        <v>651.23</v>
      </c>
      <c r="S173" s="622">
        <v>884.55</v>
      </c>
      <c r="T173" s="622">
        <v>317.18</v>
      </c>
      <c r="U173" s="622">
        <v>29.01</v>
      </c>
      <c r="V173" s="622">
        <v>219.06</v>
      </c>
      <c r="W173" s="622">
        <v>299.20999999999998</v>
      </c>
      <c r="X173" s="622">
        <v>86.1</v>
      </c>
      <c r="Y173" s="622">
        <v>189.45</v>
      </c>
      <c r="Z173" s="622">
        <v>103.48</v>
      </c>
      <c r="AA173" s="622">
        <v>0</v>
      </c>
      <c r="AB173" s="622">
        <v>495.92</v>
      </c>
      <c r="AC173" s="622">
        <v>991.83</v>
      </c>
      <c r="AD173" s="622">
        <v>991.83</v>
      </c>
      <c r="AE173" s="622">
        <v>991.83</v>
      </c>
      <c r="AF173" s="623">
        <f t="shared" si="6"/>
        <v>172.49722222222221</v>
      </c>
      <c r="AG173" s="623">
        <f t="shared" si="7"/>
        <v>78.155000000000001</v>
      </c>
      <c r="AH173" s="398"/>
      <c r="AI173" s="398"/>
    </row>
    <row r="174" spans="1:35">
      <c r="A174" s="398"/>
      <c r="B174" s="398"/>
      <c r="C174" s="398"/>
      <c r="D174" s="696" t="s">
        <v>514</v>
      </c>
      <c r="E174" s="398"/>
      <c r="F174" s="624">
        <f>Productivity!H308</f>
        <v>37.411424742342561</v>
      </c>
      <c r="G174" s="624">
        <v>92.95</v>
      </c>
      <c r="H174" s="624">
        <v>81.64</v>
      </c>
      <c r="I174" s="622">
        <v>166.95</v>
      </c>
      <c r="J174" s="622">
        <v>166.95</v>
      </c>
      <c r="K174" s="622">
        <v>140.22</v>
      </c>
      <c r="L174" s="622">
        <v>56.76</v>
      </c>
      <c r="M174" s="622">
        <v>81.13</v>
      </c>
      <c r="N174" s="622">
        <v>101.19</v>
      </c>
      <c r="O174" s="622">
        <v>118.71</v>
      </c>
      <c r="P174" s="622">
        <v>36.159999999999997</v>
      </c>
      <c r="Q174" s="622">
        <v>71.930000000000007</v>
      </c>
      <c r="R174" s="622">
        <v>37.380000000000003</v>
      </c>
      <c r="S174" s="622">
        <v>22.1</v>
      </c>
      <c r="T174" s="622">
        <v>5.69</v>
      </c>
      <c r="U174" s="622">
        <v>0</v>
      </c>
      <c r="V174" s="622">
        <v>2.91</v>
      </c>
      <c r="W174" s="622">
        <v>2.91</v>
      </c>
      <c r="X174" s="622">
        <v>0</v>
      </c>
      <c r="Y174" s="622">
        <v>0</v>
      </c>
      <c r="Z174" s="622">
        <v>2.6</v>
      </c>
      <c r="AA174" s="622">
        <v>0</v>
      </c>
      <c r="AB174" s="622">
        <v>118.09</v>
      </c>
      <c r="AC174" s="622">
        <v>236.18</v>
      </c>
      <c r="AD174" s="622">
        <v>236.18</v>
      </c>
      <c r="AE174" s="622">
        <v>236.18</v>
      </c>
      <c r="AF174" s="623">
        <f t="shared" si="6"/>
        <v>56.31055555555556</v>
      </c>
      <c r="AG174" s="623">
        <f t="shared" si="7"/>
        <v>36.769999999999996</v>
      </c>
      <c r="AH174" s="398"/>
      <c r="AI174" s="398"/>
    </row>
    <row r="175" spans="1:35" s="105" customFormat="1" ht="13.5" thickBot="1">
      <c r="A175" s="398"/>
      <c r="B175" s="398"/>
      <c r="C175" s="398"/>
      <c r="D175" s="696" t="str">
        <f>Productivity!D309</f>
        <v>Non-Computing-Related Activities</v>
      </c>
      <c r="E175" s="398"/>
      <c r="F175" s="624">
        <f>Productivity!H309</f>
        <v>0</v>
      </c>
      <c r="G175" s="632">
        <v>0</v>
      </c>
      <c r="H175" s="624">
        <v>0</v>
      </c>
      <c r="I175" s="622">
        <v>0</v>
      </c>
      <c r="J175" s="622">
        <v>0</v>
      </c>
      <c r="K175" s="622">
        <v>0</v>
      </c>
      <c r="L175" s="622">
        <v>0</v>
      </c>
      <c r="M175" s="622">
        <v>0</v>
      </c>
      <c r="N175" s="622">
        <v>0</v>
      </c>
      <c r="O175" s="622">
        <v>0</v>
      </c>
      <c r="P175" s="622">
        <v>0</v>
      </c>
      <c r="Q175" s="622">
        <v>0</v>
      </c>
      <c r="R175" s="622">
        <v>0</v>
      </c>
      <c r="S175" s="622">
        <v>0</v>
      </c>
      <c r="T175" s="622">
        <v>0</v>
      </c>
      <c r="U175" s="622">
        <v>0</v>
      </c>
      <c r="V175" s="622">
        <v>0</v>
      </c>
      <c r="W175" s="622">
        <v>0</v>
      </c>
      <c r="X175" s="622">
        <v>0</v>
      </c>
      <c r="Y175" s="622">
        <v>0</v>
      </c>
      <c r="Z175" s="622">
        <v>0</v>
      </c>
      <c r="AA175" s="622">
        <v>0</v>
      </c>
      <c r="AB175" s="622">
        <v>0</v>
      </c>
      <c r="AC175" s="622">
        <v>0</v>
      </c>
      <c r="AD175" s="622">
        <v>0</v>
      </c>
      <c r="AE175" s="622">
        <v>0</v>
      </c>
      <c r="AF175" s="623">
        <f t="shared" si="6"/>
        <v>0</v>
      </c>
      <c r="AG175" s="623">
        <f t="shared" si="7"/>
        <v>0</v>
      </c>
      <c r="AH175" s="398"/>
      <c r="AI175" s="398"/>
    </row>
    <row r="176" spans="1:35" s="28" customFormat="1" ht="13.5" thickTop="1">
      <c r="A176" s="398"/>
      <c r="B176" s="398"/>
      <c r="C176" s="398"/>
      <c r="D176" s="36" t="s">
        <v>259</v>
      </c>
      <c r="E176" s="398"/>
      <c r="F176" s="625">
        <f>SUM(F172:F175)</f>
        <v>80.343349507922213</v>
      </c>
      <c r="G176" s="625">
        <v>196.35</v>
      </c>
      <c r="H176" s="625">
        <v>175.32</v>
      </c>
      <c r="I176" s="627">
        <v>336.67</v>
      </c>
      <c r="J176" s="627">
        <v>336.67</v>
      </c>
      <c r="K176" s="627">
        <v>307.23</v>
      </c>
      <c r="L176" s="627">
        <v>223.72</v>
      </c>
      <c r="M176" s="627">
        <v>222.73</v>
      </c>
      <c r="N176" s="627">
        <v>426.91</v>
      </c>
      <c r="O176" s="627">
        <v>188.92</v>
      </c>
      <c r="P176" s="627">
        <v>36.159999999999997</v>
      </c>
      <c r="Q176" s="627">
        <v>482.58</v>
      </c>
      <c r="R176" s="627">
        <v>1251.94</v>
      </c>
      <c r="S176" s="627">
        <v>977.41</v>
      </c>
      <c r="T176" s="627">
        <v>628.34</v>
      </c>
      <c r="U176" s="627">
        <v>41.75</v>
      </c>
      <c r="V176" s="627">
        <v>458.03</v>
      </c>
      <c r="W176" s="627">
        <v>589.12</v>
      </c>
      <c r="X176" s="627">
        <v>710.27</v>
      </c>
      <c r="Y176" s="627">
        <v>335.59</v>
      </c>
      <c r="Z176" s="627">
        <v>277.7</v>
      </c>
      <c r="AA176" s="627">
        <v>0</v>
      </c>
      <c r="AB176" s="627">
        <v>1140.68</v>
      </c>
      <c r="AC176" s="627">
        <v>2281.35</v>
      </c>
      <c r="AD176" s="627">
        <v>2281.35</v>
      </c>
      <c r="AE176" s="627">
        <v>2281.35</v>
      </c>
      <c r="AF176" s="628">
        <f t="shared" si="6"/>
        <v>435.09666666666669</v>
      </c>
      <c r="AG176" s="628">
        <f t="shared" si="7"/>
        <v>336.67</v>
      </c>
      <c r="AH176" s="398"/>
      <c r="AI176" s="398"/>
    </row>
    <row r="177" spans="1:35" ht="15" thickBot="1">
      <c r="A177" s="398"/>
      <c r="B177" s="398"/>
      <c r="C177" s="8" t="s">
        <v>809</v>
      </c>
      <c r="D177" s="398"/>
      <c r="E177" s="398"/>
      <c r="F177" s="624">
        <f>Revenue!H28</f>
        <v>27.641377545136631</v>
      </c>
      <c r="G177" s="624">
        <v>117.83</v>
      </c>
      <c r="H177" s="624">
        <v>117.83</v>
      </c>
      <c r="I177" s="622">
        <v>530.24</v>
      </c>
      <c r="J177" s="622">
        <v>530.24</v>
      </c>
      <c r="K177" s="622">
        <v>58.92</v>
      </c>
      <c r="L177" s="622">
        <v>0</v>
      </c>
      <c r="M177" s="622">
        <v>324.02999999999997</v>
      </c>
      <c r="N177" s="622">
        <v>212.09</v>
      </c>
      <c r="O177" s="622">
        <v>0</v>
      </c>
      <c r="P177" s="622">
        <v>132.56</v>
      </c>
      <c r="Q177" s="622">
        <v>530.24</v>
      </c>
      <c r="R177" s="622">
        <v>477.21</v>
      </c>
      <c r="S177" s="622">
        <v>1166.52</v>
      </c>
      <c r="T177" s="622">
        <v>1590.71</v>
      </c>
      <c r="U177" s="622">
        <v>2662.96</v>
      </c>
      <c r="V177" s="622">
        <v>1964.82</v>
      </c>
      <c r="W177" s="622">
        <v>1867.61</v>
      </c>
      <c r="X177" s="622">
        <v>1522.95</v>
      </c>
      <c r="Y177" s="622">
        <v>3193.2</v>
      </c>
      <c r="Z177" s="622">
        <v>1846.99</v>
      </c>
      <c r="AA177" s="622">
        <v>0</v>
      </c>
      <c r="AB177" s="622">
        <v>4138.78</v>
      </c>
      <c r="AC177" s="622">
        <v>8277.56</v>
      </c>
      <c r="AD177" s="622">
        <v>8277.56</v>
      </c>
      <c r="AE177" s="622">
        <v>8277.56</v>
      </c>
      <c r="AF177" s="623">
        <f t="shared" si="6"/>
        <v>1033.9605555555559</v>
      </c>
      <c r="AG177" s="623">
        <f t="shared" si="7"/>
        <v>530.24</v>
      </c>
      <c r="AH177" s="398"/>
      <c r="AI177" s="398"/>
    </row>
    <row r="178" spans="1:35" ht="15" thickTop="1">
      <c r="A178" s="398"/>
      <c r="B178" s="398"/>
      <c r="C178" s="8" t="s">
        <v>1236</v>
      </c>
      <c r="D178" s="398"/>
      <c r="E178" s="398"/>
      <c r="F178" s="625">
        <f>SUM(F167,F170,F176,F177)</f>
        <v>211.41173842838921</v>
      </c>
      <c r="G178" s="625">
        <v>712.12</v>
      </c>
      <c r="H178" s="625">
        <v>773.49</v>
      </c>
      <c r="I178" s="633">
        <v>1255.6400000000001</v>
      </c>
      <c r="J178" s="633">
        <v>1255.6400000000001</v>
      </c>
      <c r="K178" s="633">
        <v>847.15</v>
      </c>
      <c r="L178" s="633">
        <v>385.99</v>
      </c>
      <c r="M178" s="633">
        <v>772.53</v>
      </c>
      <c r="N178" s="633">
        <v>1138.26</v>
      </c>
      <c r="O178" s="633">
        <v>871.85</v>
      </c>
      <c r="P178" s="633">
        <v>834.3</v>
      </c>
      <c r="Q178" s="633">
        <v>1433.84</v>
      </c>
      <c r="R178" s="633">
        <v>1950.73</v>
      </c>
      <c r="S178" s="633">
        <v>2380.83</v>
      </c>
      <c r="T178" s="633">
        <v>2438.2600000000002</v>
      </c>
      <c r="U178" s="633">
        <v>2879.88</v>
      </c>
      <c r="V178" s="633">
        <v>2889.22</v>
      </c>
      <c r="W178" s="633">
        <v>2875.15</v>
      </c>
      <c r="X178" s="633">
        <v>2586.02</v>
      </c>
      <c r="Y178" s="633">
        <v>3734.64</v>
      </c>
      <c r="Z178" s="633">
        <v>2711.59</v>
      </c>
      <c r="AA178" s="633" t="e">
        <v>#DIV/0!</v>
      </c>
      <c r="AB178" s="633">
        <v>6166.89</v>
      </c>
      <c r="AC178" s="633">
        <v>12333.78</v>
      </c>
      <c r="AD178" s="633">
        <v>12333.78</v>
      </c>
      <c r="AE178" s="633">
        <v>12333.78</v>
      </c>
      <c r="AF178" s="634">
        <f t="shared" si="6"/>
        <v>1846.7511111111114</v>
      </c>
      <c r="AG178" s="634">
        <f t="shared" si="7"/>
        <v>1692.2849999999999</v>
      </c>
      <c r="AH178" s="398"/>
      <c r="AI178" s="398"/>
    </row>
    <row r="179" spans="1:35" s="105" customFormat="1" ht="14.25">
      <c r="A179" s="398"/>
      <c r="B179" s="398"/>
      <c r="C179" s="8" t="s">
        <v>1237</v>
      </c>
      <c r="D179" s="398"/>
      <c r="E179" s="398"/>
      <c r="F179" s="635">
        <f>F178*ProjectTtlMultBen</f>
        <v>1057.058692141946</v>
      </c>
      <c r="G179" s="635">
        <v>2848.46</v>
      </c>
      <c r="H179" s="635">
        <v>3093.96</v>
      </c>
      <c r="I179" s="627">
        <v>3766.92</v>
      </c>
      <c r="J179" s="627">
        <v>3766.92</v>
      </c>
      <c r="K179" s="627">
        <v>2541.46</v>
      </c>
      <c r="L179" s="627">
        <v>1543.95</v>
      </c>
      <c r="M179" s="627">
        <v>2317.59</v>
      </c>
      <c r="N179" s="627">
        <v>4553.04</v>
      </c>
      <c r="O179" s="627">
        <v>2615.5500000000002</v>
      </c>
      <c r="P179" s="627">
        <v>2502.91</v>
      </c>
      <c r="Q179" s="627">
        <v>4301.53</v>
      </c>
      <c r="R179" s="627">
        <v>5852.18</v>
      </c>
      <c r="S179" s="627">
        <v>7142.48</v>
      </c>
      <c r="T179" s="627">
        <v>7314.78</v>
      </c>
      <c r="U179" s="627">
        <v>8639.64</v>
      </c>
      <c r="V179" s="627">
        <v>8667.66</v>
      </c>
      <c r="W179" s="627">
        <v>11500.6</v>
      </c>
      <c r="X179" s="627">
        <v>7758.06</v>
      </c>
      <c r="Y179" s="627">
        <v>14938.57</v>
      </c>
      <c r="Z179" s="627">
        <v>18981.11</v>
      </c>
      <c r="AA179" s="627" t="e">
        <v>#DIV/0!</v>
      </c>
      <c r="AB179" s="627">
        <v>18500.669999999998</v>
      </c>
      <c r="AC179" s="627">
        <v>37001.339999999997</v>
      </c>
      <c r="AD179" s="627">
        <v>37001.339999999997</v>
      </c>
      <c r="AE179" s="627">
        <v>37001.339999999997</v>
      </c>
      <c r="AF179" s="628">
        <f t="shared" si="6"/>
        <v>6594.719444444444</v>
      </c>
      <c r="AG179" s="628">
        <f t="shared" si="7"/>
        <v>5202.6100000000006</v>
      </c>
      <c r="AH179" s="398"/>
      <c r="AI179" s="398"/>
    </row>
    <row r="180" spans="1:35">
      <c r="A180" s="398"/>
      <c r="B180" s="398"/>
      <c r="C180" s="398"/>
      <c r="D180" s="398"/>
      <c r="E180" s="398"/>
      <c r="F180" s="619"/>
      <c r="G180" s="619"/>
      <c r="H180" s="619"/>
      <c r="I180" s="620"/>
      <c r="J180" s="620"/>
      <c r="K180" s="620"/>
      <c r="L180" s="620"/>
      <c r="M180" s="620"/>
      <c r="N180" s="620"/>
      <c r="O180" s="620"/>
      <c r="P180" s="620"/>
      <c r="Q180" s="620"/>
      <c r="R180" s="620"/>
      <c r="S180" s="620"/>
      <c r="T180" s="620"/>
      <c r="U180" s="620"/>
      <c r="V180" s="620"/>
      <c r="W180" s="620"/>
      <c r="X180" s="620"/>
      <c r="Y180" s="620"/>
      <c r="Z180" s="620"/>
      <c r="AA180" s="620"/>
      <c r="AB180" s="620"/>
      <c r="AC180" s="620"/>
      <c r="AD180" s="620"/>
      <c r="AE180" s="620"/>
      <c r="AF180" s="629"/>
      <c r="AG180" s="629"/>
      <c r="AH180" s="398"/>
      <c r="AI180" s="398"/>
    </row>
    <row r="181" spans="1:35">
      <c r="A181" s="398"/>
      <c r="B181" s="398"/>
      <c r="C181" s="398"/>
      <c r="D181" s="696" t="s">
        <v>18</v>
      </c>
      <c r="E181" s="398"/>
      <c r="F181" s="624">
        <f>ROI!G21</f>
        <v>149.25712700969257</v>
      </c>
      <c r="G181" s="624">
        <v>488.85</v>
      </c>
      <c r="H181" s="624">
        <v>495.07</v>
      </c>
      <c r="I181" s="622">
        <v>1038.4100000000001</v>
      </c>
      <c r="J181" s="622">
        <v>1038.4100000000001</v>
      </c>
      <c r="K181" s="622">
        <v>446.04</v>
      </c>
      <c r="L181" s="622">
        <v>453.31</v>
      </c>
      <c r="M181" s="622">
        <v>481.74</v>
      </c>
      <c r="N181" s="622">
        <v>465.99</v>
      </c>
      <c r="O181" s="622">
        <v>342.02</v>
      </c>
      <c r="P181" s="622">
        <v>464.15</v>
      </c>
      <c r="Q181" s="622">
        <v>552.55999999999995</v>
      </c>
      <c r="R181" s="622">
        <v>788.19</v>
      </c>
      <c r="S181" s="622">
        <v>542.65</v>
      </c>
      <c r="T181" s="622">
        <v>537.44000000000005</v>
      </c>
      <c r="U181" s="622">
        <v>661.25</v>
      </c>
      <c r="V181" s="622">
        <v>609.17999999999995</v>
      </c>
      <c r="W181" s="622">
        <v>899.81</v>
      </c>
      <c r="X181" s="622">
        <v>874.11</v>
      </c>
      <c r="Y181" s="622">
        <v>1010.64</v>
      </c>
      <c r="Z181" s="622">
        <v>2306.9299999999998</v>
      </c>
      <c r="AA181" s="622">
        <v>0</v>
      </c>
      <c r="AB181" s="622">
        <v>1141.3699999999999</v>
      </c>
      <c r="AC181" s="622">
        <v>2282.7399999999998</v>
      </c>
      <c r="AD181" s="622">
        <v>2282.7399999999998</v>
      </c>
      <c r="AE181" s="622">
        <v>2282.7399999999998</v>
      </c>
      <c r="AF181" s="623">
        <f t="shared" si="6"/>
        <v>750.71277777777777</v>
      </c>
      <c r="AG181" s="623">
        <f t="shared" si="7"/>
        <v>580.86999999999989</v>
      </c>
      <c r="AH181" s="398"/>
      <c r="AI181" s="398"/>
    </row>
    <row r="182" spans="1:35">
      <c r="A182" s="398"/>
      <c r="B182" s="398"/>
      <c r="C182" s="398"/>
      <c r="D182" s="696" t="s">
        <v>732</v>
      </c>
      <c r="E182" s="398"/>
      <c r="F182" s="624">
        <f>ROI!G22</f>
        <v>1057.058692141946</v>
      </c>
      <c r="G182" s="624">
        <v>2848.46</v>
      </c>
      <c r="H182" s="624">
        <v>3093.96</v>
      </c>
      <c r="I182" s="622">
        <v>3766.92</v>
      </c>
      <c r="J182" s="622">
        <v>3766.92</v>
      </c>
      <c r="K182" s="622">
        <v>2541.46</v>
      </c>
      <c r="L182" s="622">
        <v>1543.95</v>
      </c>
      <c r="M182" s="622">
        <v>2317.59</v>
      </c>
      <c r="N182" s="622">
        <v>4553.04</v>
      </c>
      <c r="O182" s="622">
        <v>2615.5500000000002</v>
      </c>
      <c r="P182" s="622">
        <v>2502.91</v>
      </c>
      <c r="Q182" s="622">
        <v>4301.53</v>
      </c>
      <c r="R182" s="622">
        <v>5852.18</v>
      </c>
      <c r="S182" s="622">
        <v>7142.48</v>
      </c>
      <c r="T182" s="622">
        <v>7314.78</v>
      </c>
      <c r="U182" s="622">
        <v>8639.64</v>
      </c>
      <c r="V182" s="622">
        <v>8667.66</v>
      </c>
      <c r="W182" s="622">
        <v>11500.6</v>
      </c>
      <c r="X182" s="622">
        <v>7758.06</v>
      </c>
      <c r="Y182" s="622">
        <v>14938.57</v>
      </c>
      <c r="Z182" s="622">
        <v>18981.11</v>
      </c>
      <c r="AA182" s="622">
        <v>0</v>
      </c>
      <c r="AB182" s="622">
        <v>18500.669999999998</v>
      </c>
      <c r="AC182" s="622">
        <v>37001.339999999997</v>
      </c>
      <c r="AD182" s="622">
        <v>37001.339999999997</v>
      </c>
      <c r="AE182" s="622">
        <v>37001.339999999997</v>
      </c>
      <c r="AF182" s="623">
        <f t="shared" si="6"/>
        <v>6594.719444444444</v>
      </c>
      <c r="AG182" s="623">
        <f t="shared" si="7"/>
        <v>5202.6100000000006</v>
      </c>
      <c r="AH182" s="398"/>
      <c r="AI182" s="398"/>
    </row>
    <row r="183" spans="1:35" s="105" customFormat="1">
      <c r="A183" s="398"/>
      <c r="B183" s="398"/>
      <c r="C183" s="398"/>
      <c r="D183" s="696" t="s">
        <v>36</v>
      </c>
      <c r="E183" s="398"/>
      <c r="F183" s="109">
        <f>(F182-F181)/F181</f>
        <v>6.0821321120116565</v>
      </c>
      <c r="G183" s="109">
        <v>4.8268977794761279</v>
      </c>
      <c r="H183" s="109">
        <v>5.2495545749272488</v>
      </c>
      <c r="I183" s="115">
        <v>2.627603430663457</v>
      </c>
      <c r="J183" s="115">
        <v>2.627603430663457</v>
      </c>
      <c r="K183" s="115">
        <v>4.6978820567190418</v>
      </c>
      <c r="L183" s="115">
        <v>2.4059803617008799</v>
      </c>
      <c r="M183" s="115">
        <v>3.8108658178642507</v>
      </c>
      <c r="N183" s="115">
        <v>8.7705972881565586</v>
      </c>
      <c r="O183" s="115">
        <v>6.6474459716880849</v>
      </c>
      <c r="P183" s="115">
        <v>4.3924949715403292</v>
      </c>
      <c r="Q183" s="115">
        <v>6.7847063684724924</v>
      </c>
      <c r="R183" s="115">
        <v>6.4248691748044013</v>
      </c>
      <c r="S183" s="115">
        <v>12.162108071512328</v>
      </c>
      <c r="T183" s="115">
        <v>12.610314114711613</v>
      </c>
      <c r="U183" s="115">
        <v>12.06557750742922</v>
      </c>
      <c r="V183" s="115">
        <v>13.228507643549262</v>
      </c>
      <c r="W183" s="115">
        <v>11.78113433088275</v>
      </c>
      <c r="X183" s="115">
        <v>7.8753876043688917</v>
      </c>
      <c r="Y183" s="115">
        <v>13.781255125795361</v>
      </c>
      <c r="Z183" s="115">
        <v>7.227852870231982</v>
      </c>
      <c r="AA183" s="115" t="e">
        <v>#DIV/0!</v>
      </c>
      <c r="AB183" s="115">
        <v>15.209204452957096</v>
      </c>
      <c r="AC183" s="115">
        <v>15.209204452957096</v>
      </c>
      <c r="AD183" s="115">
        <v>15.209204452957096</v>
      </c>
      <c r="AE183" s="115">
        <v>15.209204452957096</v>
      </c>
      <c r="AF183" s="119">
        <f t="shared" si="6"/>
        <v>7.7734547855974654</v>
      </c>
      <c r="AG183" s="119">
        <f t="shared" si="7"/>
        <v>7.0062796193522372</v>
      </c>
      <c r="AH183" s="398"/>
      <c r="AI183" s="398"/>
    </row>
    <row r="184" spans="1:35" s="105" customFormat="1" ht="14.25">
      <c r="A184" s="398"/>
      <c r="B184" s="398"/>
      <c r="C184" s="8" t="s">
        <v>1238</v>
      </c>
      <c r="D184" s="398"/>
      <c r="E184" s="398"/>
      <c r="F184" s="619"/>
      <c r="G184" s="619"/>
      <c r="H184" s="619"/>
      <c r="I184" s="620"/>
      <c r="J184" s="620"/>
      <c r="K184" s="620"/>
      <c r="L184" s="620"/>
      <c r="M184" s="620"/>
      <c r="N184" s="620"/>
      <c r="O184" s="620"/>
      <c r="P184" s="620"/>
      <c r="Q184" s="620"/>
      <c r="R184" s="620"/>
      <c r="S184" s="620"/>
      <c r="T184" s="620"/>
      <c r="U184" s="620"/>
      <c r="V184" s="620"/>
      <c r="W184" s="620"/>
      <c r="X184" s="620"/>
      <c r="Y184" s="620"/>
      <c r="Z184" s="620"/>
      <c r="AA184" s="620"/>
      <c r="AB184" s="620"/>
      <c r="AC184" s="620"/>
      <c r="AD184" s="620"/>
      <c r="AE184" s="620"/>
      <c r="AF184" s="629"/>
      <c r="AG184" s="629"/>
      <c r="AH184" s="398"/>
      <c r="AI184" s="398"/>
    </row>
    <row r="185" spans="1:35" s="105" customFormat="1">
      <c r="A185" s="398"/>
      <c r="B185" s="398"/>
      <c r="C185" s="398"/>
      <c r="D185" s="696" t="str">
        <f>KPIs!B41</f>
        <v>Sales/Marketing Performance</v>
      </c>
      <c r="E185" s="398"/>
      <c r="F185" s="109">
        <f>KPIs!F41</f>
        <v>0.3</v>
      </c>
      <c r="G185" s="109">
        <v>0.5</v>
      </c>
      <c r="H185" s="109">
        <v>0.7</v>
      </c>
      <c r="I185" s="115">
        <v>0.5</v>
      </c>
      <c r="J185" s="115">
        <v>0.5</v>
      </c>
      <c r="K185" s="115">
        <v>0.5</v>
      </c>
      <c r="L185" s="115">
        <v>0.5</v>
      </c>
      <c r="M185" s="115">
        <v>0.5</v>
      </c>
      <c r="N185" s="115">
        <v>0.5</v>
      </c>
      <c r="O185" s="115">
        <v>0.5</v>
      </c>
      <c r="P185" s="115">
        <v>0.5</v>
      </c>
      <c r="Q185" s="115">
        <v>0.5</v>
      </c>
      <c r="R185" s="115">
        <v>0.5</v>
      </c>
      <c r="S185" s="115">
        <v>0.5</v>
      </c>
      <c r="T185" s="115">
        <v>0.5</v>
      </c>
      <c r="U185" s="115">
        <v>0.5</v>
      </c>
      <c r="V185" s="115">
        <v>0.5</v>
      </c>
      <c r="W185" s="115">
        <v>0.5</v>
      </c>
      <c r="X185" s="115">
        <v>0.5</v>
      </c>
      <c r="Y185" s="115">
        <v>0.5</v>
      </c>
      <c r="Z185" s="115">
        <v>0.5</v>
      </c>
      <c r="AA185" s="115">
        <v>0.5</v>
      </c>
      <c r="AB185" s="115">
        <v>0.5</v>
      </c>
      <c r="AC185" s="115">
        <v>0.5</v>
      </c>
      <c r="AD185" s="115">
        <v>0.5</v>
      </c>
      <c r="AE185" s="115">
        <v>0.5</v>
      </c>
      <c r="AF185" s="119">
        <f t="shared" si="6"/>
        <v>0.5</v>
      </c>
      <c r="AG185" s="119">
        <f t="shared" si="7"/>
        <v>0.5</v>
      </c>
      <c r="AH185" s="398"/>
      <c r="AI185" s="398"/>
    </row>
    <row r="186" spans="1:35" s="105" customFormat="1">
      <c r="A186" s="398"/>
      <c r="B186" s="398"/>
      <c r="C186" s="398"/>
      <c r="D186" s="696" t="str">
        <f>KPIs!B42</f>
        <v>Business Management Effectiveness</v>
      </c>
      <c r="E186" s="398"/>
      <c r="F186" s="109">
        <f>KPIs!F42</f>
        <v>0.3</v>
      </c>
      <c r="G186" s="109">
        <v>0.3</v>
      </c>
      <c r="H186" s="109">
        <v>0.5</v>
      </c>
      <c r="I186" s="115">
        <v>0.3</v>
      </c>
      <c r="J186" s="115">
        <v>0.3</v>
      </c>
      <c r="K186" s="115">
        <v>0.3</v>
      </c>
      <c r="L186" s="115">
        <v>0.3</v>
      </c>
      <c r="M186" s="115">
        <v>0.3</v>
      </c>
      <c r="N186" s="115">
        <v>0.3</v>
      </c>
      <c r="O186" s="115">
        <v>0.3</v>
      </c>
      <c r="P186" s="115">
        <v>0.3</v>
      </c>
      <c r="Q186" s="115">
        <v>0.3</v>
      </c>
      <c r="R186" s="115">
        <v>0.3</v>
      </c>
      <c r="S186" s="115">
        <v>0.3</v>
      </c>
      <c r="T186" s="115">
        <v>0.3</v>
      </c>
      <c r="U186" s="115">
        <v>0.3</v>
      </c>
      <c r="V186" s="115">
        <v>0.3</v>
      </c>
      <c r="W186" s="115">
        <v>0.3</v>
      </c>
      <c r="X186" s="115">
        <v>0.3</v>
      </c>
      <c r="Y186" s="115">
        <v>0.3</v>
      </c>
      <c r="Z186" s="115">
        <v>0.3</v>
      </c>
      <c r="AA186" s="115">
        <v>0.3</v>
      </c>
      <c r="AB186" s="115">
        <v>0.3</v>
      </c>
      <c r="AC186" s="115">
        <v>0.3</v>
      </c>
      <c r="AD186" s="115">
        <v>0.3</v>
      </c>
      <c r="AE186" s="115">
        <v>0.3</v>
      </c>
      <c r="AF186" s="119">
        <f t="shared" si="6"/>
        <v>0.29999999999999993</v>
      </c>
      <c r="AG186" s="119">
        <f t="shared" si="7"/>
        <v>0.3</v>
      </c>
      <c r="AH186" s="398"/>
      <c r="AI186" s="398"/>
    </row>
    <row r="187" spans="1:35" s="105" customFormat="1">
      <c r="A187" s="398"/>
      <c r="B187" s="398"/>
      <c r="C187" s="398"/>
      <c r="D187" s="696" t="str">
        <f>KPIs!B43</f>
        <v>Supply/Operations Performance</v>
      </c>
      <c r="E187" s="398"/>
      <c r="F187" s="109">
        <f>KPIs!F43</f>
        <v>0.3</v>
      </c>
      <c r="G187" s="109">
        <v>0.5</v>
      </c>
      <c r="H187" s="109">
        <v>0.3</v>
      </c>
      <c r="I187" s="115">
        <v>0.5</v>
      </c>
      <c r="J187" s="115">
        <v>0.5</v>
      </c>
      <c r="K187" s="115">
        <v>0.5</v>
      </c>
      <c r="L187" s="115">
        <v>0.5</v>
      </c>
      <c r="M187" s="115">
        <v>0.5</v>
      </c>
      <c r="N187" s="115">
        <v>0.5</v>
      </c>
      <c r="O187" s="115">
        <v>0.5</v>
      </c>
      <c r="P187" s="115">
        <v>0.5</v>
      </c>
      <c r="Q187" s="115">
        <v>0.5</v>
      </c>
      <c r="R187" s="115">
        <v>0.5</v>
      </c>
      <c r="S187" s="115">
        <v>0.5</v>
      </c>
      <c r="T187" s="115">
        <v>0.5</v>
      </c>
      <c r="U187" s="115">
        <v>0.5</v>
      </c>
      <c r="V187" s="115">
        <v>0.5</v>
      </c>
      <c r="W187" s="115">
        <v>0.5</v>
      </c>
      <c r="X187" s="115">
        <v>0.5</v>
      </c>
      <c r="Y187" s="115">
        <v>0.5</v>
      </c>
      <c r="Z187" s="115">
        <v>0.5</v>
      </c>
      <c r="AA187" s="115">
        <v>0.5</v>
      </c>
      <c r="AB187" s="115">
        <v>0.5</v>
      </c>
      <c r="AC187" s="115">
        <v>0.5</v>
      </c>
      <c r="AD187" s="115">
        <v>0.5</v>
      </c>
      <c r="AE187" s="115">
        <v>0.5</v>
      </c>
      <c r="AF187" s="119">
        <f t="shared" si="6"/>
        <v>0.5</v>
      </c>
      <c r="AG187" s="119">
        <f t="shared" si="7"/>
        <v>0.5</v>
      </c>
      <c r="AH187" s="398"/>
      <c r="AI187" s="398"/>
    </row>
    <row r="188" spans="1:35" s="105" customFormat="1">
      <c r="A188" s="398"/>
      <c r="B188" s="398"/>
      <c r="C188" s="398"/>
      <c r="D188" s="696" t="str">
        <f>KPIs!B44</f>
        <v>Technology Effectiveness</v>
      </c>
      <c r="E188" s="398"/>
      <c r="F188" s="109">
        <f>KPIs!F44</f>
        <v>0.3</v>
      </c>
      <c r="G188" s="109">
        <v>0.3</v>
      </c>
      <c r="H188" s="109">
        <v>0.3</v>
      </c>
      <c r="I188" s="115">
        <v>0.3</v>
      </c>
      <c r="J188" s="115">
        <v>0.3</v>
      </c>
      <c r="K188" s="115">
        <v>0.3</v>
      </c>
      <c r="L188" s="115">
        <v>0.3</v>
      </c>
      <c r="M188" s="115">
        <v>0.3</v>
      </c>
      <c r="N188" s="115">
        <v>0.3</v>
      </c>
      <c r="O188" s="115">
        <v>0.3</v>
      </c>
      <c r="P188" s="115">
        <v>0.3</v>
      </c>
      <c r="Q188" s="115">
        <v>0.3</v>
      </c>
      <c r="R188" s="115">
        <v>0.3</v>
      </c>
      <c r="S188" s="115">
        <v>0.3</v>
      </c>
      <c r="T188" s="115">
        <v>0.3</v>
      </c>
      <c r="U188" s="115">
        <v>0.3</v>
      </c>
      <c r="V188" s="115">
        <v>0.3</v>
      </c>
      <c r="W188" s="115">
        <v>0.3</v>
      </c>
      <c r="X188" s="115">
        <v>0.3</v>
      </c>
      <c r="Y188" s="115">
        <v>0.3</v>
      </c>
      <c r="Z188" s="115">
        <v>0.3</v>
      </c>
      <c r="AA188" s="115">
        <v>0.3</v>
      </c>
      <c r="AB188" s="115">
        <v>0.3</v>
      </c>
      <c r="AC188" s="115">
        <v>0.3</v>
      </c>
      <c r="AD188" s="115">
        <v>0.3</v>
      </c>
      <c r="AE188" s="115">
        <v>0.3</v>
      </c>
      <c r="AF188" s="119">
        <f t="shared" si="6"/>
        <v>0.29999999999999993</v>
      </c>
      <c r="AG188" s="119">
        <f t="shared" si="7"/>
        <v>0.3</v>
      </c>
      <c r="AH188" s="398"/>
      <c r="AI188" s="398"/>
    </row>
    <row r="189" spans="1:35" s="105" customFormat="1" ht="14.25">
      <c r="A189" s="398"/>
      <c r="B189" s="398"/>
      <c r="C189" s="8" t="s">
        <v>1239</v>
      </c>
      <c r="D189" s="398"/>
      <c r="E189" s="398"/>
      <c r="F189" s="117"/>
      <c r="G189" s="117"/>
      <c r="H189" s="117"/>
      <c r="I189" s="118"/>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c r="AF189" s="120"/>
      <c r="AG189" s="120"/>
      <c r="AH189" s="398"/>
      <c r="AI189" s="398"/>
    </row>
    <row r="190" spans="1:35" s="105" customFormat="1">
      <c r="A190" s="398"/>
      <c r="B190" s="398"/>
      <c r="C190" s="398"/>
      <c r="D190" s="376" t="str">
        <f>D185</f>
        <v>Sales/Marketing Performance</v>
      </c>
      <c r="E190" s="398"/>
      <c r="F190" s="109">
        <f>KPIs!H41</f>
        <v>0</v>
      </c>
      <c r="G190" s="109">
        <v>0</v>
      </c>
      <c r="H190" s="109">
        <v>0</v>
      </c>
      <c r="I190" s="115">
        <v>0</v>
      </c>
      <c r="J190" s="115">
        <v>0</v>
      </c>
      <c r="K190" s="115">
        <v>0</v>
      </c>
      <c r="L190" s="115">
        <v>0</v>
      </c>
      <c r="M190" s="115">
        <v>0</v>
      </c>
      <c r="N190" s="115">
        <v>0</v>
      </c>
      <c r="O190" s="115">
        <v>0</v>
      </c>
      <c r="P190" s="115">
        <v>0</v>
      </c>
      <c r="Q190" s="115">
        <v>0</v>
      </c>
      <c r="R190" s="115">
        <v>4.0000000000000036E-2</v>
      </c>
      <c r="S190" s="115">
        <v>0</v>
      </c>
      <c r="T190" s="115">
        <v>2.0000000000000018E-2</v>
      </c>
      <c r="U190" s="115">
        <v>8.0000000000000071E-2</v>
      </c>
      <c r="V190" s="115">
        <v>2.0000000000000018E-2</v>
      </c>
      <c r="W190" s="115">
        <v>6.0000000000000053E-2</v>
      </c>
      <c r="X190" s="115">
        <v>2.0000000000000018E-2</v>
      </c>
      <c r="Y190" s="115">
        <v>0.19999999999999996</v>
      </c>
      <c r="Z190" s="115">
        <v>6.0000000000000053E-2</v>
      </c>
      <c r="AA190" s="115">
        <v>0</v>
      </c>
      <c r="AB190" s="115">
        <v>9.9999999999999978E-2</v>
      </c>
      <c r="AC190" s="115">
        <v>0.19999999999999996</v>
      </c>
      <c r="AD190" s="115">
        <v>0.19999999999999996</v>
      </c>
      <c r="AE190" s="115">
        <v>0.19999999999999996</v>
      </c>
      <c r="AF190" s="119">
        <f t="shared" si="6"/>
        <v>2.777777777777779E-2</v>
      </c>
      <c r="AG190" s="119">
        <f t="shared" si="7"/>
        <v>0</v>
      </c>
      <c r="AH190" s="398"/>
      <c r="AI190" s="398"/>
    </row>
    <row r="191" spans="1:35" s="105" customFormat="1">
      <c r="A191" s="398"/>
      <c r="B191" s="398"/>
      <c r="C191" s="398"/>
      <c r="D191" s="376" t="str">
        <f>D186</f>
        <v>Business Management Effectiveness</v>
      </c>
      <c r="E191" s="398"/>
      <c r="F191" s="109">
        <f>KPIs!H42</f>
        <v>0</v>
      </c>
      <c r="G191" s="109">
        <v>0</v>
      </c>
      <c r="H191" s="109">
        <v>0</v>
      </c>
      <c r="I191" s="115">
        <v>0</v>
      </c>
      <c r="J191" s="115">
        <v>0</v>
      </c>
      <c r="K191" s="115">
        <v>3.1999999999999973E-2</v>
      </c>
      <c r="L191" s="115">
        <v>6.4000000000000001E-2</v>
      </c>
      <c r="M191" s="115">
        <v>0</v>
      </c>
      <c r="N191" s="115">
        <v>6.4000000000000001E-2</v>
      </c>
      <c r="O191" s="115">
        <v>6.4000000000000001E-2</v>
      </c>
      <c r="P191" s="115">
        <v>0</v>
      </c>
      <c r="Q191" s="115">
        <v>3.1999999999999973E-2</v>
      </c>
      <c r="R191" s="115">
        <v>3.1999999999999973E-2</v>
      </c>
      <c r="S191" s="115">
        <v>9.5999999999999974E-2</v>
      </c>
      <c r="T191" s="115">
        <v>9.5999999999999974E-2</v>
      </c>
      <c r="U191" s="115">
        <v>0</v>
      </c>
      <c r="V191" s="115">
        <v>0.128</v>
      </c>
      <c r="W191" s="115">
        <v>0.32</v>
      </c>
      <c r="X191" s="115">
        <v>9.5999999999999974E-2</v>
      </c>
      <c r="Y191" s="115">
        <v>9.5999999999999974E-2</v>
      </c>
      <c r="Z191" s="115">
        <v>0.22399999999999992</v>
      </c>
      <c r="AA191" s="115">
        <v>0</v>
      </c>
      <c r="AB191" s="115">
        <v>0.15999999999999998</v>
      </c>
      <c r="AC191" s="115">
        <v>0.32</v>
      </c>
      <c r="AD191" s="115">
        <v>0.32</v>
      </c>
      <c r="AE191" s="115">
        <v>0.32</v>
      </c>
      <c r="AF191" s="119">
        <f t="shared" si="6"/>
        <v>7.4666666666666673E-2</v>
      </c>
      <c r="AG191" s="119">
        <f t="shared" si="7"/>
        <v>6.4000000000000001E-2</v>
      </c>
      <c r="AH191" s="398"/>
      <c r="AI191" s="398"/>
    </row>
    <row r="192" spans="1:35" s="105" customFormat="1">
      <c r="A192" s="398"/>
      <c r="B192" s="398"/>
      <c r="C192" s="398"/>
      <c r="D192" s="376" t="str">
        <f>D187</f>
        <v>Supply/Operations Performance</v>
      </c>
      <c r="E192" s="398"/>
      <c r="F192" s="109">
        <f>KPIs!H43</f>
        <v>0</v>
      </c>
      <c r="G192" s="109">
        <v>0</v>
      </c>
      <c r="H192" s="109">
        <v>0</v>
      </c>
      <c r="I192" s="115">
        <v>0</v>
      </c>
      <c r="J192" s="115">
        <v>0</v>
      </c>
      <c r="K192" s="115">
        <v>1.5357142857142958E-2</v>
      </c>
      <c r="L192" s="115">
        <v>1.5357142857142958E-2</v>
      </c>
      <c r="M192" s="115">
        <v>0</v>
      </c>
      <c r="N192" s="115">
        <v>4.6071428571428541E-2</v>
      </c>
      <c r="O192" s="115">
        <v>0</v>
      </c>
      <c r="P192" s="115">
        <v>6.1428571428571499E-2</v>
      </c>
      <c r="Q192" s="115">
        <v>1.5357142857142958E-2</v>
      </c>
      <c r="R192" s="115">
        <v>3.0714285714285805E-2</v>
      </c>
      <c r="S192" s="115">
        <v>3.0714285714285805E-2</v>
      </c>
      <c r="T192" s="115">
        <v>3.0714285714285805E-2</v>
      </c>
      <c r="U192" s="115">
        <v>3.0714285714285805E-2</v>
      </c>
      <c r="V192" s="115">
        <v>0.10749999999999993</v>
      </c>
      <c r="W192" s="115">
        <v>6.1428571428571499E-2</v>
      </c>
      <c r="X192" s="115">
        <v>7.6785714285714346E-2</v>
      </c>
      <c r="Y192" s="115">
        <v>3.0714285714285805E-2</v>
      </c>
      <c r="Z192" s="115">
        <v>0.15357142857142858</v>
      </c>
      <c r="AA192" s="115">
        <v>0</v>
      </c>
      <c r="AB192" s="115">
        <v>7.6785714285714346E-2</v>
      </c>
      <c r="AC192" s="115">
        <v>0.15357142857142858</v>
      </c>
      <c r="AD192" s="115">
        <v>0.15357142857142858</v>
      </c>
      <c r="AE192" s="115">
        <v>0.15357142857142858</v>
      </c>
      <c r="AF192" s="119">
        <f t="shared" si="6"/>
        <v>3.9246031746031793E-2</v>
      </c>
      <c r="AG192" s="119">
        <f t="shared" si="7"/>
        <v>3.0714285714285805E-2</v>
      </c>
      <c r="AH192" s="398"/>
      <c r="AI192" s="398"/>
    </row>
    <row r="193" spans="1:35" s="105" customFormat="1">
      <c r="A193" s="398"/>
      <c r="B193" s="398"/>
      <c r="C193" s="398"/>
      <c r="D193" s="376" t="str">
        <f>D188</f>
        <v>Technology Effectiveness</v>
      </c>
      <c r="E193" s="398"/>
      <c r="F193" s="109">
        <f>KPIs!H44</f>
        <v>6.1499999999999999E-2</v>
      </c>
      <c r="G193" s="109">
        <v>0.24599999999999994</v>
      </c>
      <c r="H193" s="109">
        <v>0.24599999999999994</v>
      </c>
      <c r="I193" s="115">
        <v>0.40999999999999986</v>
      </c>
      <c r="J193" s="115">
        <v>0.40999999999999986</v>
      </c>
      <c r="K193" s="115">
        <v>0.24599999999999994</v>
      </c>
      <c r="L193" s="115">
        <v>8.2000000000000073E-2</v>
      </c>
      <c r="M193" s="115">
        <v>0.123</v>
      </c>
      <c r="N193" s="115">
        <v>0.24599999999999994</v>
      </c>
      <c r="O193" s="115">
        <v>0.16399999999999998</v>
      </c>
      <c r="P193" s="115">
        <v>0.16399999999999998</v>
      </c>
      <c r="Q193" s="115">
        <v>0.123</v>
      </c>
      <c r="R193" s="115">
        <v>0.24599999999999994</v>
      </c>
      <c r="S193" s="115">
        <v>0.123</v>
      </c>
      <c r="T193" s="115">
        <v>0.123</v>
      </c>
      <c r="U193" s="115">
        <v>4.0999999999999925E-2</v>
      </c>
      <c r="V193" s="115">
        <v>0.123</v>
      </c>
      <c r="W193" s="115">
        <v>8.2000000000000073E-2</v>
      </c>
      <c r="X193" s="115">
        <v>8.2000000000000073E-2</v>
      </c>
      <c r="Y193" s="115">
        <v>0.123</v>
      </c>
      <c r="Z193" s="115">
        <v>0.16399999999999998</v>
      </c>
      <c r="AA193" s="115">
        <v>0</v>
      </c>
      <c r="AB193" s="115">
        <v>0.20500000000000002</v>
      </c>
      <c r="AC193" s="115">
        <v>0.40999999999999986</v>
      </c>
      <c r="AD193" s="115">
        <v>0.40999999999999986</v>
      </c>
      <c r="AE193" s="115">
        <v>0.40999999999999986</v>
      </c>
      <c r="AF193" s="119">
        <f t="shared" si="6"/>
        <v>0.17083333333333331</v>
      </c>
      <c r="AG193" s="119">
        <f t="shared" si="7"/>
        <v>0.123</v>
      </c>
      <c r="AH193" s="398"/>
      <c r="AI193" s="398"/>
    </row>
    <row r="194" spans="1:35" s="105" customFormat="1">
      <c r="A194" s="398"/>
      <c r="B194" s="398"/>
      <c r="C194" s="398"/>
      <c r="D194" s="696"/>
      <c r="E194" s="398"/>
      <c r="F194" s="624"/>
      <c r="G194" s="624"/>
      <c r="H194" s="624"/>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c r="AG194" s="115"/>
      <c r="AH194" s="398"/>
      <c r="AI194" s="398"/>
    </row>
    <row r="195" spans="1:35" s="105" customFormat="1" ht="13.5" thickBot="1">
      <c r="A195" s="398"/>
      <c r="B195" s="398"/>
      <c r="C195" s="398"/>
      <c r="D195" s="36" t="s">
        <v>1240</v>
      </c>
      <c r="E195" s="398"/>
      <c r="F195" s="116"/>
      <c r="G195" s="116"/>
      <c r="H195" s="116"/>
      <c r="I195" s="622"/>
      <c r="J195" s="622"/>
      <c r="K195" s="622"/>
      <c r="L195" s="622"/>
      <c r="M195" s="622"/>
      <c r="N195" s="622"/>
      <c r="O195" s="622"/>
      <c r="P195" s="622"/>
      <c r="Q195" s="622"/>
      <c r="R195" s="622"/>
      <c r="S195" s="622"/>
      <c r="T195" s="622"/>
      <c r="U195" s="622"/>
      <c r="V195" s="622"/>
      <c r="W195" s="622"/>
      <c r="X195" s="622"/>
      <c r="Y195" s="622"/>
      <c r="Z195" s="622"/>
      <c r="AA195" s="622"/>
      <c r="AB195" s="622"/>
      <c r="AC195" s="622"/>
      <c r="AD195" s="622"/>
      <c r="AE195" s="622"/>
      <c r="AF195" s="622"/>
      <c r="AG195" s="622"/>
      <c r="AH195" s="398"/>
      <c r="AI195" s="398"/>
    </row>
    <row r="196" spans="1:35" s="32" customFormat="1">
      <c r="A196" s="398"/>
      <c r="B196" s="398"/>
      <c r="C196" s="398"/>
      <c r="D196" s="696" t="s">
        <v>1241</v>
      </c>
      <c r="E196" s="398"/>
      <c r="F196" s="398"/>
      <c r="G196" s="398"/>
      <c r="H196" s="398"/>
      <c r="I196" s="114">
        <v>3</v>
      </c>
      <c r="J196" s="114">
        <v>3</v>
      </c>
      <c r="K196" s="114">
        <v>3</v>
      </c>
      <c r="L196" s="114">
        <v>3</v>
      </c>
      <c r="M196" s="114">
        <v>4</v>
      </c>
      <c r="N196" s="114">
        <v>6</v>
      </c>
      <c r="O196" s="114">
        <v>6</v>
      </c>
      <c r="P196" s="114">
        <v>5</v>
      </c>
      <c r="Q196" s="114">
        <v>6</v>
      </c>
      <c r="R196" s="114">
        <v>6</v>
      </c>
      <c r="S196" s="114">
        <v>6</v>
      </c>
      <c r="T196" s="114">
        <v>6</v>
      </c>
      <c r="U196" s="114">
        <v>6</v>
      </c>
      <c r="V196" s="114">
        <v>6</v>
      </c>
      <c r="W196" s="114">
        <v>8</v>
      </c>
      <c r="X196" s="114">
        <v>8</v>
      </c>
      <c r="Y196" s="114">
        <v>6</v>
      </c>
      <c r="Z196" s="114">
        <v>6</v>
      </c>
      <c r="AA196" s="114"/>
      <c r="AB196" s="114"/>
      <c r="AC196" s="114"/>
      <c r="AD196" s="114"/>
      <c r="AE196" s="114"/>
      <c r="AF196" s="398"/>
      <c r="AG196" s="398"/>
      <c r="AH196" s="398"/>
      <c r="AI196" s="398"/>
    </row>
    <row r="197" spans="1:35">
      <c r="A197" s="398"/>
      <c r="B197" s="398"/>
      <c r="C197" s="398"/>
      <c r="D197" s="398"/>
      <c r="E197" s="398"/>
      <c r="F197" s="398"/>
      <c r="G197" s="398"/>
      <c r="H197" s="398"/>
      <c r="I197" s="398"/>
      <c r="J197" s="398"/>
      <c r="K197" s="398"/>
      <c r="L197" s="398"/>
      <c r="M197" s="398"/>
      <c r="N197" s="398"/>
      <c r="O197" s="398"/>
      <c r="P197" s="398"/>
      <c r="Q197" s="398"/>
      <c r="R197" s="398"/>
      <c r="S197" s="398"/>
      <c r="T197" s="398"/>
      <c r="U197" s="398"/>
      <c r="V197" s="398"/>
      <c r="W197" s="398"/>
      <c r="X197" s="398"/>
      <c r="Y197" s="398"/>
      <c r="Z197" s="398"/>
      <c r="AA197" s="398"/>
      <c r="AB197" s="398"/>
      <c r="AC197" s="398"/>
      <c r="AD197" s="398"/>
      <c r="AE197" s="398"/>
      <c r="AF197" s="398"/>
      <c r="AG197" s="398"/>
      <c r="AH197" s="398"/>
      <c r="AI197" s="398"/>
    </row>
    <row r="198" spans="1:35">
      <c r="A198" s="398"/>
      <c r="B198" s="750" t="str">
        <f>CopyRight</f>
        <v>©AnalysisPlace.  www.analysisplace.com</v>
      </c>
      <c r="C198" s="750"/>
      <c r="D198" s="750"/>
      <c r="E198" s="750"/>
      <c r="F198" s="750"/>
      <c r="G198" s="750"/>
      <c r="H198" s="750"/>
      <c r="I198" s="750"/>
      <c r="J198" s="750"/>
      <c r="K198" s="398"/>
      <c r="L198" s="398"/>
      <c r="M198" s="398"/>
      <c r="N198" s="398"/>
      <c r="O198" s="398"/>
      <c r="P198" s="398"/>
      <c r="Q198" s="398"/>
      <c r="R198" s="398"/>
      <c r="S198" s="398"/>
      <c r="T198" s="398"/>
      <c r="U198" s="398"/>
      <c r="V198" s="398"/>
      <c r="W198" s="398"/>
      <c r="X198" s="398"/>
      <c r="Y198" s="398"/>
      <c r="Z198" s="398"/>
      <c r="AA198" s="398"/>
      <c r="AB198" s="398"/>
      <c r="AC198" s="398"/>
      <c r="AD198" s="398"/>
      <c r="AE198" s="398"/>
      <c r="AF198" s="398"/>
      <c r="AG198" s="398"/>
      <c r="AH198" s="398"/>
      <c r="AI198" s="398"/>
    </row>
    <row r="199" spans="1:35">
      <c r="A199" s="398"/>
      <c r="B199" s="398"/>
      <c r="C199" s="398"/>
      <c r="D199" s="398"/>
      <c r="E199" s="398"/>
      <c r="F199" s="398"/>
      <c r="G199" s="398"/>
      <c r="H199" s="398"/>
      <c r="I199" s="398"/>
      <c r="J199" s="398"/>
      <c r="K199" s="398"/>
      <c r="L199" s="398"/>
      <c r="M199" s="398"/>
      <c r="N199" s="398"/>
      <c r="O199" s="398"/>
      <c r="P199" s="398"/>
      <c r="Q199" s="398"/>
      <c r="R199" s="398"/>
      <c r="S199" s="398"/>
      <c r="T199" s="398"/>
      <c r="U199" s="398"/>
      <c r="V199" s="398"/>
      <c r="W199" s="398"/>
      <c r="X199" s="398"/>
      <c r="Y199" s="398"/>
      <c r="Z199" s="398"/>
      <c r="AA199" s="398"/>
      <c r="AB199" s="398"/>
      <c r="AC199" s="398"/>
      <c r="AD199" s="398"/>
      <c r="AE199" s="398"/>
      <c r="AF199" s="398"/>
      <c r="AG199" s="398"/>
      <c r="AH199" s="398"/>
      <c r="AI199" s="398"/>
    </row>
    <row r="200" spans="1:35">
      <c r="A200" s="398"/>
      <c r="B200" s="398"/>
      <c r="C200" s="398"/>
      <c r="D200" s="398"/>
      <c r="E200" s="398"/>
      <c r="F200" s="398"/>
      <c r="G200" s="398"/>
      <c r="H200" s="398"/>
      <c r="I200" s="398"/>
      <c r="J200" s="398"/>
      <c r="K200" s="398"/>
      <c r="L200" s="398"/>
      <c r="M200" s="398"/>
      <c r="N200" s="398"/>
      <c r="O200" s="398"/>
      <c r="P200" s="398"/>
      <c r="Q200" s="398"/>
      <c r="R200" s="398"/>
      <c r="S200" s="398"/>
      <c r="T200" s="398"/>
      <c r="U200" s="398"/>
      <c r="V200" s="398"/>
      <c r="W200" s="398"/>
      <c r="X200" s="398"/>
      <c r="Y200" s="398"/>
      <c r="Z200" s="398"/>
      <c r="AA200" s="398"/>
      <c r="AB200" s="398"/>
      <c r="AC200" s="398"/>
      <c r="AD200" s="398"/>
      <c r="AE200" s="398"/>
      <c r="AF200" s="398"/>
      <c r="AG200" s="398"/>
      <c r="AH200" s="398"/>
      <c r="AI200" s="398"/>
    </row>
    <row r="201" spans="1:35">
      <c r="A201" s="398"/>
      <c r="B201" s="398"/>
      <c r="C201" s="398"/>
      <c r="D201" s="398"/>
      <c r="E201" s="398"/>
      <c r="F201" s="398"/>
      <c r="G201" s="398"/>
      <c r="H201" s="398"/>
      <c r="I201" s="398"/>
      <c r="J201" s="398"/>
      <c r="K201" s="398"/>
      <c r="L201" s="398"/>
      <c r="M201" s="398"/>
      <c r="N201" s="398"/>
      <c r="O201" s="398"/>
      <c r="P201" s="398"/>
      <c r="Q201" s="398"/>
      <c r="R201" s="398"/>
      <c r="S201" s="398"/>
      <c r="T201" s="398"/>
      <c r="U201" s="398"/>
      <c r="V201" s="398"/>
      <c r="W201" s="398"/>
      <c r="X201" s="398"/>
      <c r="Y201" s="398"/>
      <c r="Z201" s="398"/>
      <c r="AA201" s="398"/>
      <c r="AB201" s="398"/>
      <c r="AC201" s="398"/>
      <c r="AD201" s="398"/>
      <c r="AE201" s="398"/>
      <c r="AF201" s="398"/>
      <c r="AG201" s="398"/>
      <c r="AH201" s="398"/>
      <c r="AI201" s="398"/>
    </row>
    <row r="202" spans="1:35">
      <c r="A202" s="398"/>
      <c r="B202" s="398"/>
      <c r="C202" s="398"/>
      <c r="D202" s="398"/>
      <c r="E202" s="398"/>
      <c r="F202" s="398"/>
      <c r="G202" s="398"/>
      <c r="H202" s="398"/>
      <c r="I202" s="398"/>
      <c r="J202" s="398"/>
      <c r="K202" s="398"/>
      <c r="L202" s="398"/>
      <c r="M202" s="398"/>
      <c r="N202" s="398"/>
      <c r="O202" s="398"/>
      <c r="P202" s="398"/>
      <c r="Q202" s="398"/>
      <c r="R202" s="398"/>
      <c r="S202" s="398"/>
      <c r="T202" s="398"/>
      <c r="U202" s="398"/>
      <c r="V202" s="398"/>
      <c r="W202" s="398"/>
      <c r="X202" s="398"/>
      <c r="Y202" s="398"/>
      <c r="Z202" s="398"/>
      <c r="AA202" s="398"/>
      <c r="AB202" s="398"/>
      <c r="AC202" s="398"/>
      <c r="AD202" s="398"/>
      <c r="AE202" s="398"/>
      <c r="AF202" s="398"/>
      <c r="AG202" s="398"/>
      <c r="AH202" s="398"/>
      <c r="AI202" s="398"/>
    </row>
    <row r="203" spans="1:35">
      <c r="A203" s="398"/>
      <c r="B203" s="398"/>
      <c r="C203" s="398"/>
      <c r="D203" s="398"/>
      <c r="E203" s="398"/>
      <c r="F203" s="398"/>
      <c r="G203" s="398"/>
      <c r="H203" s="398"/>
      <c r="I203" s="398"/>
      <c r="J203" s="398"/>
      <c r="K203" s="398"/>
      <c r="L203" s="398"/>
      <c r="M203" s="398"/>
      <c r="N203" s="398"/>
      <c r="O203" s="398"/>
      <c r="P203" s="398"/>
      <c r="Q203" s="398"/>
      <c r="R203" s="398"/>
      <c r="S203" s="398"/>
      <c r="T203" s="398"/>
      <c r="U203" s="398"/>
      <c r="V203" s="398"/>
      <c r="W203" s="398"/>
      <c r="X203" s="398"/>
      <c r="Y203" s="398"/>
      <c r="Z203" s="398"/>
      <c r="AA203" s="398"/>
      <c r="AB203" s="398"/>
      <c r="AC203" s="398"/>
      <c r="AD203" s="398"/>
      <c r="AE203" s="398"/>
      <c r="AF203" s="398"/>
      <c r="AG203" s="398"/>
      <c r="AH203" s="398"/>
      <c r="AI203" s="398"/>
    </row>
    <row r="204" spans="1:35">
      <c r="A204" s="398"/>
      <c r="B204" s="398"/>
      <c r="C204" s="398"/>
      <c r="D204" s="398"/>
      <c r="E204" s="398"/>
      <c r="F204" s="398"/>
      <c r="G204" s="398"/>
      <c r="H204" s="398"/>
      <c r="I204" s="398"/>
      <c r="J204" s="398"/>
      <c r="K204" s="398"/>
      <c r="L204" s="398"/>
      <c r="M204" s="398"/>
      <c r="N204" s="398"/>
      <c r="O204" s="398"/>
      <c r="P204" s="398"/>
      <c r="Q204" s="398"/>
      <c r="R204" s="398"/>
      <c r="S204" s="398"/>
      <c r="T204" s="398"/>
      <c r="U204" s="398"/>
      <c r="V204" s="398"/>
      <c r="W204" s="398"/>
      <c r="X204" s="398"/>
      <c r="Y204" s="398"/>
      <c r="Z204" s="398"/>
      <c r="AA204" s="398"/>
      <c r="AB204" s="398"/>
      <c r="AC204" s="398"/>
      <c r="AD204" s="398"/>
      <c r="AE204" s="398"/>
      <c r="AF204" s="398"/>
      <c r="AG204" s="398"/>
      <c r="AH204" s="398"/>
      <c r="AI204" s="398"/>
    </row>
    <row r="205" spans="1:35">
      <c r="A205" s="398"/>
      <c r="B205" s="398"/>
      <c r="C205" s="398"/>
      <c r="D205" s="398"/>
      <c r="E205" s="398"/>
      <c r="F205" s="398"/>
      <c r="G205" s="398"/>
      <c r="H205" s="398"/>
      <c r="I205" s="398"/>
      <c r="J205" s="398"/>
      <c r="K205" s="398"/>
      <c r="L205" s="398"/>
      <c r="M205" s="398"/>
      <c r="N205" s="398"/>
      <c r="O205" s="398"/>
      <c r="P205" s="398"/>
      <c r="Q205" s="398"/>
      <c r="R205" s="398"/>
      <c r="S205" s="398"/>
      <c r="T205" s="398"/>
      <c r="U205" s="398"/>
      <c r="V205" s="398"/>
      <c r="W205" s="398"/>
      <c r="X205" s="398"/>
      <c r="Y205" s="398"/>
      <c r="Z205" s="398"/>
      <c r="AA205" s="398"/>
      <c r="AB205" s="398"/>
      <c r="AC205" s="398"/>
      <c r="AD205" s="398"/>
      <c r="AE205" s="398"/>
      <c r="AF205" s="398"/>
      <c r="AG205" s="398"/>
      <c r="AH205" s="398"/>
      <c r="AI205" s="398"/>
    </row>
    <row r="206" spans="1:35">
      <c r="A206" s="398"/>
      <c r="B206" s="398"/>
      <c r="C206" s="398"/>
      <c r="D206" s="398"/>
      <c r="E206" s="398"/>
      <c r="F206" s="398"/>
      <c r="G206" s="398"/>
      <c r="H206" s="398"/>
      <c r="I206" s="398"/>
      <c r="J206" s="398"/>
      <c r="K206" s="398"/>
      <c r="L206" s="398"/>
      <c r="M206" s="398"/>
      <c r="N206" s="398"/>
      <c r="O206" s="398"/>
      <c r="P206" s="398"/>
      <c r="Q206" s="398"/>
      <c r="R206" s="398"/>
      <c r="S206" s="398"/>
      <c r="T206" s="398"/>
      <c r="U206" s="398"/>
      <c r="V206" s="398"/>
      <c r="W206" s="398"/>
      <c r="X206" s="398"/>
      <c r="Y206" s="398"/>
      <c r="Z206" s="398"/>
      <c r="AA206" s="398"/>
      <c r="AB206" s="398"/>
      <c r="AC206" s="398"/>
      <c r="AD206" s="398"/>
      <c r="AE206" s="398"/>
      <c r="AF206" s="398"/>
      <c r="AG206" s="398"/>
      <c r="AH206" s="398"/>
      <c r="AI206" s="398"/>
    </row>
    <row r="207" spans="1:35">
      <c r="A207" s="398"/>
      <c r="B207" s="398"/>
      <c r="C207" s="398"/>
      <c r="D207" s="398"/>
      <c r="E207" s="398"/>
      <c r="F207" s="398"/>
      <c r="G207" s="398"/>
      <c r="H207" s="398"/>
      <c r="I207" s="398"/>
      <c r="J207" s="398"/>
      <c r="K207" s="398"/>
      <c r="L207" s="398"/>
      <c r="M207" s="398"/>
      <c r="N207" s="398"/>
      <c r="O207" s="398"/>
      <c r="P207" s="398"/>
      <c r="Q207" s="398"/>
      <c r="R207" s="398"/>
      <c r="S207" s="398"/>
      <c r="T207" s="398"/>
      <c r="U207" s="398"/>
      <c r="V207" s="398"/>
      <c r="W207" s="398"/>
      <c r="X207" s="398"/>
      <c r="Y207" s="398"/>
      <c r="Z207" s="398"/>
      <c r="AA207" s="398"/>
      <c r="AB207" s="398"/>
      <c r="AC207" s="398"/>
      <c r="AD207" s="398"/>
      <c r="AE207" s="398"/>
      <c r="AF207" s="398"/>
      <c r="AG207" s="398"/>
      <c r="AH207" s="398"/>
      <c r="AI207" s="398"/>
    </row>
    <row r="208" spans="1:35">
      <c r="A208" s="398"/>
      <c r="B208" s="398"/>
      <c r="C208" s="398"/>
      <c r="D208" s="398"/>
      <c r="E208" s="398"/>
      <c r="F208" s="398"/>
      <c r="G208" s="398"/>
      <c r="H208" s="398"/>
      <c r="I208" s="398"/>
      <c r="J208" s="398"/>
      <c r="K208" s="398"/>
      <c r="L208" s="398"/>
      <c r="M208" s="398"/>
      <c r="N208" s="398"/>
      <c r="O208" s="398"/>
      <c r="P208" s="398"/>
      <c r="Q208" s="398"/>
      <c r="R208" s="398"/>
      <c r="S208" s="398"/>
      <c r="T208" s="398"/>
      <c r="U208" s="398"/>
      <c r="V208" s="398"/>
      <c r="W208" s="398"/>
      <c r="X208" s="398"/>
      <c r="Y208" s="398"/>
      <c r="Z208" s="398"/>
      <c r="AA208" s="398"/>
      <c r="AB208" s="398"/>
      <c r="AC208" s="398"/>
      <c r="AD208" s="398"/>
      <c r="AE208" s="398"/>
      <c r="AF208" s="398"/>
      <c r="AG208" s="398"/>
      <c r="AH208" s="398"/>
      <c r="AI208" s="398"/>
    </row>
    <row r="209" spans="1:35">
      <c r="A209" s="398"/>
      <c r="B209" s="398"/>
      <c r="C209" s="398"/>
      <c r="D209" s="398"/>
      <c r="E209" s="398"/>
      <c r="F209" s="398"/>
      <c r="G209" s="398"/>
      <c r="H209" s="398"/>
      <c r="I209" s="398"/>
      <c r="J209" s="398"/>
      <c r="K209" s="398"/>
      <c r="L209" s="398"/>
      <c r="M209" s="398"/>
      <c r="N209" s="398"/>
      <c r="O209" s="398"/>
      <c r="P209" s="398"/>
      <c r="Q209" s="398"/>
      <c r="R209" s="398"/>
      <c r="S209" s="398"/>
      <c r="T209" s="398"/>
      <c r="U209" s="398"/>
      <c r="V209" s="398"/>
      <c r="W209" s="398"/>
      <c r="X209" s="398"/>
      <c r="Y209" s="398"/>
      <c r="Z209" s="398"/>
      <c r="AA209" s="398"/>
      <c r="AB209" s="398"/>
      <c r="AC209" s="398"/>
      <c r="AD209" s="398"/>
      <c r="AE209" s="398"/>
      <c r="AF209" s="398"/>
      <c r="AG209" s="398"/>
      <c r="AH209" s="398"/>
      <c r="AI209" s="398"/>
    </row>
    <row r="210" spans="1:35">
      <c r="A210" s="398"/>
      <c r="B210" s="398"/>
      <c r="C210" s="398"/>
      <c r="D210" s="398"/>
      <c r="E210" s="398"/>
      <c r="F210" s="398"/>
      <c r="G210" s="398"/>
      <c r="H210" s="398"/>
      <c r="I210" s="398"/>
      <c r="J210" s="398"/>
      <c r="K210" s="398"/>
      <c r="L210" s="398"/>
      <c r="M210" s="398"/>
      <c r="N210" s="398"/>
      <c r="O210" s="398"/>
      <c r="P210" s="398"/>
      <c r="Q210" s="398"/>
      <c r="R210" s="398"/>
      <c r="S210" s="398"/>
      <c r="T210" s="398"/>
      <c r="U210" s="398"/>
      <c r="V210" s="398"/>
      <c r="W210" s="398"/>
      <c r="X210" s="398"/>
      <c r="Y210" s="398"/>
      <c r="Z210" s="398"/>
      <c r="AA210" s="398"/>
      <c r="AB210" s="398"/>
      <c r="AC210" s="398"/>
      <c r="AD210" s="398"/>
      <c r="AE210" s="398"/>
      <c r="AF210" s="398"/>
      <c r="AG210" s="398"/>
      <c r="AH210" s="398"/>
      <c r="AI210" s="398"/>
    </row>
    <row r="211" spans="1:35">
      <c r="A211" s="398"/>
      <c r="B211" s="398"/>
      <c r="C211" s="398"/>
      <c r="D211" s="398"/>
      <c r="E211" s="398"/>
      <c r="F211" s="398"/>
      <c r="G211" s="398"/>
      <c r="H211" s="398"/>
      <c r="I211" s="398"/>
      <c r="J211" s="398"/>
      <c r="K211" s="398"/>
      <c r="L211" s="398"/>
      <c r="M211" s="398"/>
      <c r="N211" s="398"/>
      <c r="O211" s="398"/>
      <c r="P211" s="398"/>
      <c r="Q211" s="398"/>
      <c r="R211" s="398"/>
      <c r="S211" s="398"/>
      <c r="T211" s="398"/>
      <c r="U211" s="398"/>
      <c r="V211" s="398"/>
      <c r="W211" s="398"/>
      <c r="X211" s="398"/>
      <c r="Y211" s="398"/>
      <c r="Z211" s="398"/>
      <c r="AA211" s="398"/>
      <c r="AB211" s="398"/>
      <c r="AC211" s="398"/>
      <c r="AD211" s="398"/>
      <c r="AE211" s="398"/>
      <c r="AF211" s="398"/>
      <c r="AG211" s="398"/>
      <c r="AH211" s="398"/>
      <c r="AI211" s="398"/>
    </row>
    <row r="212" spans="1:35">
      <c r="A212" s="398"/>
      <c r="B212" s="398"/>
      <c r="C212" s="398"/>
      <c r="D212" s="398"/>
      <c r="E212" s="398"/>
      <c r="F212" s="398"/>
      <c r="G212" s="398"/>
      <c r="H212" s="398"/>
      <c r="I212" s="398"/>
      <c r="J212" s="398"/>
      <c r="K212" s="398"/>
      <c r="L212" s="398"/>
      <c r="M212" s="398"/>
      <c r="N212" s="398"/>
      <c r="O212" s="398"/>
      <c r="P212" s="398"/>
      <c r="Q212" s="398"/>
      <c r="R212" s="398"/>
      <c r="S212" s="398"/>
      <c r="T212" s="398"/>
      <c r="U212" s="398"/>
      <c r="V212" s="398"/>
      <c r="W212" s="398"/>
      <c r="X212" s="398"/>
      <c r="Y212" s="398"/>
      <c r="Z212" s="398"/>
      <c r="AA212" s="398"/>
      <c r="AB212" s="398"/>
      <c r="AC212" s="398"/>
      <c r="AD212" s="398"/>
      <c r="AE212" s="398"/>
      <c r="AF212" s="398"/>
      <c r="AG212" s="398"/>
      <c r="AH212" s="398"/>
      <c r="AI212" s="398"/>
    </row>
    <row r="213" spans="1:35">
      <c r="A213" s="398"/>
      <c r="B213" s="398"/>
      <c r="C213" s="398"/>
      <c r="D213" s="398"/>
      <c r="E213" s="398"/>
      <c r="F213" s="398"/>
      <c r="G213" s="398"/>
      <c r="H213" s="398"/>
      <c r="I213" s="398"/>
      <c r="J213" s="398"/>
      <c r="K213" s="398"/>
      <c r="L213" s="398"/>
      <c r="M213" s="398"/>
      <c r="N213" s="398"/>
      <c r="O213" s="398"/>
      <c r="P213" s="398"/>
      <c r="Q213" s="398"/>
      <c r="R213" s="398"/>
      <c r="S213" s="398"/>
      <c r="T213" s="398"/>
      <c r="U213" s="398"/>
      <c r="V213" s="398"/>
      <c r="W213" s="398"/>
      <c r="X213" s="398"/>
      <c r="Y213" s="398"/>
      <c r="Z213" s="398"/>
      <c r="AA213" s="398"/>
      <c r="AB213" s="398"/>
      <c r="AC213" s="398"/>
      <c r="AD213" s="398"/>
      <c r="AE213" s="398"/>
      <c r="AF213" s="398"/>
      <c r="AG213" s="398"/>
      <c r="AH213" s="398"/>
      <c r="AI213" s="398"/>
    </row>
    <row r="214" spans="1:35">
      <c r="A214" s="398"/>
      <c r="B214" s="398"/>
      <c r="C214" s="398"/>
      <c r="D214" s="398"/>
      <c r="E214" s="398"/>
      <c r="F214" s="398"/>
      <c r="G214" s="398"/>
      <c r="H214" s="398"/>
      <c r="I214" s="398"/>
      <c r="J214" s="398"/>
      <c r="K214" s="398"/>
      <c r="L214" s="398"/>
      <c r="M214" s="398"/>
      <c r="N214" s="398"/>
      <c r="O214" s="398"/>
      <c r="P214" s="398"/>
      <c r="Q214" s="398"/>
      <c r="R214" s="398"/>
      <c r="S214" s="398"/>
      <c r="T214" s="398"/>
      <c r="U214" s="398"/>
      <c r="V214" s="398"/>
      <c r="W214" s="398"/>
      <c r="X214" s="398"/>
      <c r="Y214" s="398"/>
      <c r="Z214" s="398"/>
      <c r="AA214" s="398"/>
      <c r="AB214" s="398"/>
      <c r="AC214" s="398"/>
      <c r="AD214" s="398"/>
      <c r="AE214" s="398"/>
      <c r="AF214" s="398"/>
      <c r="AG214" s="398"/>
      <c r="AH214" s="398"/>
      <c r="AI214" s="398"/>
    </row>
    <row r="215" spans="1:35">
      <c r="A215" s="398"/>
      <c r="B215" s="398"/>
      <c r="C215" s="398"/>
      <c r="D215" s="398"/>
      <c r="E215" s="398"/>
      <c r="F215" s="398"/>
      <c r="G215" s="398"/>
      <c r="H215" s="398"/>
      <c r="I215" s="398"/>
      <c r="J215" s="398"/>
      <c r="K215" s="398"/>
      <c r="L215" s="398"/>
      <c r="M215" s="398"/>
      <c r="N215" s="398"/>
      <c r="O215" s="398"/>
      <c r="P215" s="398"/>
      <c r="Q215" s="398"/>
      <c r="R215" s="398"/>
      <c r="S215" s="398"/>
      <c r="T215" s="398"/>
      <c r="U215" s="398"/>
      <c r="V215" s="398"/>
      <c r="W215" s="398"/>
      <c r="X215" s="398"/>
      <c r="Y215" s="398"/>
      <c r="Z215" s="398"/>
      <c r="AA215" s="398"/>
      <c r="AB215" s="398"/>
      <c r="AC215" s="398"/>
      <c r="AD215" s="398"/>
      <c r="AE215" s="398"/>
      <c r="AF215" s="398"/>
      <c r="AG215" s="398"/>
      <c r="AH215" s="398"/>
      <c r="AI215" s="398"/>
    </row>
    <row r="216" spans="1:35">
      <c r="A216" s="398"/>
      <c r="B216" s="398"/>
      <c r="C216" s="398"/>
      <c r="D216" s="398"/>
      <c r="E216" s="398"/>
      <c r="F216" s="398"/>
      <c r="G216" s="398"/>
      <c r="H216" s="398"/>
      <c r="I216" s="398"/>
      <c r="J216" s="398"/>
      <c r="K216" s="398"/>
      <c r="L216" s="398"/>
      <c r="M216" s="398"/>
      <c r="N216" s="398"/>
      <c r="O216" s="398"/>
      <c r="P216" s="398"/>
      <c r="Q216" s="398"/>
      <c r="R216" s="398"/>
      <c r="S216" s="398"/>
      <c r="T216" s="398"/>
      <c r="U216" s="398"/>
      <c r="V216" s="398"/>
      <c r="W216" s="398"/>
      <c r="X216" s="398"/>
      <c r="Y216" s="398"/>
      <c r="Z216" s="398"/>
      <c r="AA216" s="398"/>
      <c r="AB216" s="398"/>
      <c r="AC216" s="398"/>
      <c r="AD216" s="398"/>
      <c r="AE216" s="398"/>
      <c r="AF216" s="398"/>
      <c r="AG216" s="398"/>
      <c r="AH216" s="398"/>
      <c r="AI216" s="398"/>
    </row>
    <row r="217" spans="1:35">
      <c r="A217" s="398"/>
      <c r="B217" s="398"/>
      <c r="C217" s="398"/>
      <c r="D217" s="398"/>
      <c r="E217" s="398"/>
      <c r="F217" s="398"/>
      <c r="G217" s="398"/>
      <c r="H217" s="398"/>
      <c r="I217" s="398"/>
      <c r="J217" s="398"/>
      <c r="K217" s="398"/>
      <c r="L217" s="398"/>
      <c r="M217" s="398"/>
      <c r="N217" s="398"/>
      <c r="O217" s="398"/>
      <c r="P217" s="398"/>
      <c r="Q217" s="398"/>
      <c r="R217" s="398"/>
      <c r="S217" s="398"/>
      <c r="T217" s="398"/>
      <c r="U217" s="398"/>
      <c r="V217" s="398"/>
      <c r="W217" s="398"/>
      <c r="X217" s="398"/>
      <c r="Y217" s="398"/>
      <c r="Z217" s="398"/>
      <c r="AA217" s="398"/>
      <c r="AB217" s="398"/>
      <c r="AC217" s="398"/>
      <c r="AD217" s="398"/>
      <c r="AE217" s="398"/>
      <c r="AF217" s="398"/>
      <c r="AG217" s="398"/>
      <c r="AH217" s="398"/>
      <c r="AI217" s="398"/>
    </row>
    <row r="218" spans="1:35">
      <c r="A218" s="398"/>
      <c r="B218" s="398"/>
      <c r="C218" s="398"/>
      <c r="D218" s="398"/>
      <c r="E218" s="398"/>
      <c r="F218" s="398"/>
      <c r="G218" s="398"/>
      <c r="H218" s="398"/>
      <c r="I218" s="398"/>
      <c r="J218" s="398"/>
      <c r="K218" s="398"/>
      <c r="L218" s="398"/>
      <c r="M218" s="398"/>
      <c r="N218" s="398"/>
      <c r="O218" s="398"/>
      <c r="P218" s="398"/>
      <c r="Q218" s="398"/>
      <c r="R218" s="398"/>
      <c r="S218" s="398"/>
      <c r="T218" s="398"/>
      <c r="U218" s="398"/>
      <c r="V218" s="398"/>
      <c r="W218" s="398"/>
      <c r="X218" s="398"/>
      <c r="Y218" s="398"/>
      <c r="Z218" s="398"/>
      <c r="AA218" s="398"/>
      <c r="AB218" s="398"/>
      <c r="AC218" s="398"/>
      <c r="AD218" s="398"/>
      <c r="AE218" s="398"/>
      <c r="AF218" s="398"/>
      <c r="AG218" s="398"/>
      <c r="AH218" s="398"/>
      <c r="AI218" s="398"/>
    </row>
    <row r="219" spans="1:35">
      <c r="A219" s="398"/>
      <c r="B219" s="398"/>
      <c r="C219" s="398"/>
      <c r="D219" s="398"/>
      <c r="E219" s="398"/>
      <c r="F219" s="398"/>
      <c r="G219" s="398"/>
      <c r="H219" s="398"/>
      <c r="I219" s="398"/>
      <c r="J219" s="398"/>
      <c r="K219" s="398"/>
      <c r="L219" s="398"/>
      <c r="M219" s="398"/>
      <c r="N219" s="398"/>
      <c r="O219" s="398"/>
      <c r="P219" s="398"/>
      <c r="Q219" s="398"/>
      <c r="R219" s="398"/>
      <c r="S219" s="398"/>
      <c r="T219" s="398"/>
      <c r="U219" s="398"/>
      <c r="V219" s="398"/>
      <c r="W219" s="398"/>
      <c r="X219" s="398"/>
      <c r="Y219" s="398"/>
      <c r="Z219" s="398"/>
      <c r="AA219" s="398"/>
      <c r="AB219" s="398"/>
      <c r="AC219" s="398"/>
      <c r="AD219" s="398"/>
      <c r="AE219" s="398"/>
      <c r="AF219" s="398"/>
      <c r="AG219" s="398"/>
      <c r="AH219" s="398"/>
      <c r="AI219" s="398"/>
    </row>
    <row r="220" spans="1:35">
      <c r="A220" s="398"/>
      <c r="B220" s="398"/>
      <c r="C220" s="398"/>
      <c r="D220" s="398"/>
      <c r="E220" s="398"/>
      <c r="F220" s="398"/>
      <c r="G220" s="398"/>
      <c r="H220" s="398"/>
      <c r="I220" s="398"/>
      <c r="J220" s="398"/>
      <c r="K220" s="398"/>
      <c r="L220" s="398"/>
      <c r="M220" s="398"/>
      <c r="N220" s="398"/>
      <c r="O220" s="398"/>
      <c r="P220" s="398"/>
      <c r="Q220" s="398"/>
      <c r="R220" s="398"/>
      <c r="S220" s="398"/>
      <c r="T220" s="398"/>
      <c r="U220" s="398"/>
      <c r="V220" s="398"/>
      <c r="W220" s="398"/>
      <c r="X220" s="398"/>
      <c r="Y220" s="398"/>
      <c r="Z220" s="398"/>
      <c r="AA220" s="398"/>
      <c r="AB220" s="398"/>
      <c r="AC220" s="398"/>
      <c r="AD220" s="398"/>
      <c r="AE220" s="398"/>
      <c r="AF220" s="398"/>
      <c r="AG220" s="398"/>
      <c r="AH220" s="398"/>
      <c r="AI220" s="398"/>
    </row>
    <row r="221" spans="1:35">
      <c r="A221" s="398"/>
      <c r="B221" s="398"/>
      <c r="C221" s="398"/>
      <c r="D221" s="398"/>
      <c r="E221" s="398"/>
      <c r="F221" s="398"/>
      <c r="G221" s="398"/>
      <c r="H221" s="398"/>
      <c r="I221" s="398"/>
      <c r="J221" s="398"/>
      <c r="K221" s="398"/>
      <c r="L221" s="398"/>
      <c r="M221" s="398"/>
      <c r="N221" s="398"/>
      <c r="O221" s="398"/>
      <c r="P221" s="398"/>
      <c r="Q221" s="398"/>
      <c r="R221" s="398"/>
      <c r="S221" s="398"/>
      <c r="T221" s="398"/>
      <c r="U221" s="398"/>
      <c r="V221" s="398"/>
      <c r="W221" s="398"/>
      <c r="X221" s="398"/>
      <c r="Y221" s="398"/>
      <c r="Z221" s="398"/>
      <c r="AA221" s="398"/>
      <c r="AB221" s="398"/>
      <c r="AC221" s="398"/>
      <c r="AD221" s="398"/>
      <c r="AE221" s="398"/>
      <c r="AF221" s="398"/>
      <c r="AG221" s="398"/>
      <c r="AH221" s="398"/>
      <c r="AI221" s="398"/>
    </row>
    <row r="222" spans="1:35">
      <c r="A222" s="398"/>
      <c r="B222" s="398"/>
      <c r="C222" s="398"/>
      <c r="D222" s="398"/>
      <c r="E222" s="398"/>
      <c r="F222" s="398"/>
      <c r="G222" s="398"/>
      <c r="H222" s="398"/>
      <c r="I222" s="398"/>
      <c r="J222" s="398"/>
      <c r="K222" s="398"/>
      <c r="L222" s="398"/>
      <c r="M222" s="398"/>
      <c r="N222" s="398"/>
      <c r="O222" s="398"/>
      <c r="P222" s="398"/>
      <c r="Q222" s="398"/>
      <c r="R222" s="398"/>
      <c r="S222" s="398"/>
      <c r="T222" s="398"/>
      <c r="U222" s="398"/>
      <c r="V222" s="398"/>
      <c r="W222" s="398"/>
      <c r="X222" s="398"/>
      <c r="Y222" s="398"/>
      <c r="Z222" s="398"/>
      <c r="AA222" s="398"/>
      <c r="AB222" s="398"/>
      <c r="AC222" s="398"/>
      <c r="AD222" s="398"/>
      <c r="AE222" s="398"/>
      <c r="AF222" s="398"/>
      <c r="AG222" s="398"/>
      <c r="AH222" s="398"/>
      <c r="AI222" s="398"/>
    </row>
    <row r="223" spans="1:35">
      <c r="A223" s="398"/>
      <c r="B223" s="398"/>
      <c r="C223" s="398"/>
      <c r="D223" s="398"/>
      <c r="E223" s="398"/>
      <c r="F223" s="398"/>
      <c r="G223" s="398"/>
      <c r="H223" s="398"/>
      <c r="I223" s="398"/>
      <c r="J223" s="398"/>
      <c r="K223" s="398"/>
      <c r="L223" s="398"/>
      <c r="M223" s="398"/>
      <c r="N223" s="398"/>
      <c r="O223" s="398"/>
      <c r="P223" s="398"/>
      <c r="Q223" s="398"/>
      <c r="R223" s="398"/>
      <c r="S223" s="398"/>
      <c r="T223" s="398"/>
      <c r="U223" s="398"/>
      <c r="V223" s="398"/>
      <c r="W223" s="398"/>
      <c r="X223" s="398"/>
      <c r="Y223" s="398"/>
      <c r="Z223" s="398"/>
      <c r="AA223" s="398"/>
      <c r="AB223" s="398"/>
      <c r="AC223" s="398"/>
      <c r="AD223" s="398"/>
      <c r="AE223" s="398"/>
      <c r="AF223" s="398"/>
      <c r="AG223" s="398"/>
      <c r="AH223" s="398"/>
      <c r="AI223" s="398"/>
    </row>
    <row r="224" spans="1:35">
      <c r="A224" s="398"/>
      <c r="B224" s="398"/>
      <c r="C224" s="398"/>
      <c r="D224" s="398"/>
      <c r="E224" s="398"/>
      <c r="F224" s="398"/>
      <c r="G224" s="398"/>
      <c r="H224" s="398"/>
      <c r="I224" s="398"/>
      <c r="J224" s="398"/>
      <c r="K224" s="398"/>
      <c r="L224" s="398"/>
      <c r="M224" s="398"/>
      <c r="N224" s="398"/>
      <c r="O224" s="398"/>
      <c r="P224" s="398"/>
      <c r="Q224" s="398"/>
      <c r="R224" s="398"/>
      <c r="S224" s="398"/>
      <c r="T224" s="398"/>
      <c r="U224" s="398"/>
      <c r="V224" s="398"/>
      <c r="W224" s="398"/>
      <c r="X224" s="398"/>
      <c r="Y224" s="398"/>
      <c r="Z224" s="398"/>
      <c r="AA224" s="398"/>
      <c r="AB224" s="398"/>
      <c r="AC224" s="398"/>
      <c r="AD224" s="398"/>
      <c r="AE224" s="398"/>
      <c r="AF224" s="398"/>
      <c r="AG224" s="398"/>
      <c r="AH224" s="398"/>
      <c r="AI224" s="398"/>
    </row>
    <row r="225" spans="1:35">
      <c r="A225" s="398"/>
      <c r="B225" s="398"/>
      <c r="C225" s="398"/>
      <c r="D225" s="398"/>
      <c r="E225" s="398"/>
      <c r="F225" s="398"/>
      <c r="G225" s="398"/>
      <c r="H225" s="398"/>
      <c r="I225" s="398"/>
      <c r="J225" s="398"/>
      <c r="K225" s="398"/>
      <c r="L225" s="398"/>
      <c r="M225" s="398"/>
      <c r="N225" s="398"/>
      <c r="O225" s="398"/>
      <c r="P225" s="398"/>
      <c r="Q225" s="398"/>
      <c r="R225" s="398"/>
      <c r="S225" s="398"/>
      <c r="T225" s="398"/>
      <c r="U225" s="398"/>
      <c r="V225" s="398"/>
      <c r="W225" s="398"/>
      <c r="X225" s="398"/>
      <c r="Y225" s="398"/>
      <c r="Z225" s="398"/>
      <c r="AA225" s="398"/>
      <c r="AB225" s="398"/>
      <c r="AC225" s="398"/>
      <c r="AD225" s="398"/>
      <c r="AE225" s="398"/>
      <c r="AF225" s="398"/>
      <c r="AG225" s="398"/>
      <c r="AH225" s="398"/>
      <c r="AI225" s="398"/>
    </row>
    <row r="226" spans="1:35">
      <c r="A226" s="398"/>
      <c r="B226" s="398"/>
      <c r="C226" s="398"/>
      <c r="D226" s="398"/>
      <c r="E226" s="398"/>
      <c r="F226" s="398"/>
      <c r="G226" s="398"/>
      <c r="H226" s="398"/>
      <c r="I226" s="398"/>
      <c r="J226" s="398"/>
      <c r="K226" s="398"/>
      <c r="L226" s="398"/>
      <c r="M226" s="398"/>
      <c r="N226" s="398"/>
      <c r="O226" s="398"/>
      <c r="P226" s="398"/>
      <c r="Q226" s="398"/>
      <c r="R226" s="398"/>
      <c r="S226" s="398"/>
      <c r="T226" s="398"/>
      <c r="U226" s="398"/>
      <c r="V226" s="398"/>
      <c r="W226" s="398"/>
      <c r="X226" s="398"/>
      <c r="Y226" s="398"/>
      <c r="Z226" s="398"/>
      <c r="AA226" s="398"/>
      <c r="AB226" s="398"/>
      <c r="AC226" s="398"/>
      <c r="AD226" s="398"/>
      <c r="AE226" s="398"/>
      <c r="AF226" s="398"/>
      <c r="AG226" s="398"/>
      <c r="AH226" s="398"/>
      <c r="AI226" s="398"/>
    </row>
    <row r="227" spans="1:35">
      <c r="A227" s="398"/>
      <c r="B227" s="398"/>
      <c r="C227" s="398"/>
      <c r="D227" s="398"/>
      <c r="E227" s="398"/>
      <c r="F227" s="398"/>
      <c r="G227" s="398"/>
      <c r="H227" s="398"/>
      <c r="I227" s="398"/>
      <c r="J227" s="398"/>
      <c r="K227" s="398"/>
      <c r="L227" s="398"/>
      <c r="M227" s="398"/>
      <c r="N227" s="398"/>
      <c r="O227" s="398"/>
      <c r="P227" s="398"/>
      <c r="Q227" s="398"/>
      <c r="R227" s="398"/>
      <c r="S227" s="398"/>
      <c r="T227" s="398"/>
      <c r="U227" s="398"/>
      <c r="V227" s="398"/>
      <c r="W227" s="398"/>
      <c r="X227" s="398"/>
      <c r="Y227" s="398"/>
      <c r="Z227" s="398"/>
      <c r="AA227" s="398"/>
      <c r="AB227" s="398"/>
      <c r="AC227" s="398"/>
      <c r="AD227" s="398"/>
      <c r="AE227" s="398"/>
      <c r="AF227" s="398"/>
      <c r="AG227" s="398"/>
      <c r="AH227" s="398"/>
      <c r="AI227" s="398"/>
    </row>
    <row r="228" spans="1:35">
      <c r="A228" s="398"/>
      <c r="B228" s="398"/>
      <c r="C228" s="398"/>
      <c r="D228" s="398"/>
      <c r="E228" s="398"/>
      <c r="F228" s="398"/>
      <c r="G228" s="398"/>
      <c r="H228" s="398"/>
      <c r="I228" s="398"/>
      <c r="J228" s="398"/>
      <c r="K228" s="398"/>
      <c r="L228" s="398"/>
      <c r="M228" s="398"/>
      <c r="N228" s="398"/>
      <c r="O228" s="398"/>
      <c r="P228" s="398"/>
      <c r="Q228" s="398"/>
      <c r="R228" s="398"/>
      <c r="S228" s="398"/>
      <c r="T228" s="398"/>
      <c r="U228" s="398"/>
      <c r="V228" s="398"/>
      <c r="W228" s="398"/>
      <c r="X228" s="398"/>
      <c r="Y228" s="398"/>
      <c r="Z228" s="398"/>
      <c r="AA228" s="398"/>
      <c r="AB228" s="398"/>
      <c r="AC228" s="398"/>
      <c r="AD228" s="398"/>
      <c r="AE228" s="398"/>
      <c r="AF228" s="398"/>
      <c r="AG228" s="398"/>
      <c r="AH228" s="398"/>
      <c r="AI228" s="398"/>
    </row>
    <row r="229" spans="1:35">
      <c r="A229" s="398"/>
      <c r="B229" s="398"/>
      <c r="C229" s="398"/>
      <c r="D229" s="398"/>
      <c r="E229" s="398"/>
      <c r="F229" s="398"/>
      <c r="G229" s="398"/>
      <c r="H229" s="398"/>
      <c r="I229" s="398"/>
      <c r="J229" s="398"/>
      <c r="K229" s="398"/>
      <c r="L229" s="398"/>
      <c r="M229" s="398"/>
      <c r="N229" s="398"/>
      <c r="O229" s="398"/>
      <c r="P229" s="398"/>
      <c r="Q229" s="398"/>
      <c r="R229" s="398"/>
      <c r="S229" s="398"/>
      <c r="T229" s="398"/>
      <c r="U229" s="398"/>
      <c r="V229" s="398"/>
      <c r="W229" s="398"/>
      <c r="X229" s="398"/>
      <c r="Y229" s="398"/>
      <c r="Z229" s="398"/>
      <c r="AA229" s="398"/>
      <c r="AB229" s="398"/>
      <c r="AC229" s="398"/>
      <c r="AD229" s="398"/>
      <c r="AE229" s="398"/>
      <c r="AF229" s="398"/>
      <c r="AG229" s="398"/>
      <c r="AH229" s="398"/>
      <c r="AI229" s="398"/>
    </row>
    <row r="230" spans="1:35">
      <c r="A230" s="398"/>
      <c r="B230" s="398"/>
      <c r="C230" s="398"/>
      <c r="D230" s="398"/>
      <c r="E230" s="398"/>
      <c r="F230" s="398"/>
      <c r="G230" s="398"/>
      <c r="H230" s="398"/>
      <c r="I230" s="398"/>
      <c r="J230" s="398"/>
      <c r="K230" s="398"/>
      <c r="L230" s="398"/>
      <c r="M230" s="398"/>
      <c r="N230" s="398"/>
      <c r="O230" s="398"/>
      <c r="P230" s="398"/>
      <c r="Q230" s="398"/>
      <c r="R230" s="398"/>
      <c r="S230" s="398"/>
      <c r="T230" s="398"/>
      <c r="U230" s="398"/>
      <c r="V230" s="398"/>
      <c r="W230" s="398"/>
      <c r="X230" s="398"/>
      <c r="Y230" s="398"/>
      <c r="Z230" s="398"/>
      <c r="AA230" s="398"/>
      <c r="AB230" s="398"/>
      <c r="AC230" s="398"/>
      <c r="AD230" s="398"/>
      <c r="AE230" s="398"/>
      <c r="AF230" s="398"/>
      <c r="AG230" s="398"/>
      <c r="AH230" s="398"/>
      <c r="AI230" s="398"/>
    </row>
    <row r="231" spans="1:35">
      <c r="A231" s="398"/>
      <c r="B231" s="398"/>
      <c r="C231" s="398"/>
      <c r="D231" s="398"/>
      <c r="E231" s="398"/>
      <c r="F231" s="398"/>
      <c r="G231" s="398"/>
      <c r="H231" s="398"/>
      <c r="I231" s="398"/>
      <c r="J231" s="398"/>
      <c r="K231" s="398"/>
      <c r="L231" s="398"/>
      <c r="M231" s="398"/>
      <c r="N231" s="398"/>
      <c r="O231" s="398"/>
      <c r="P231" s="398"/>
      <c r="Q231" s="398"/>
      <c r="R231" s="398"/>
      <c r="S231" s="398"/>
      <c r="T231" s="398"/>
      <c r="U231" s="398"/>
      <c r="V231" s="398"/>
      <c r="W231" s="398"/>
      <c r="X231" s="398"/>
      <c r="Y231" s="398"/>
      <c r="Z231" s="398"/>
      <c r="AA231" s="398"/>
      <c r="AB231" s="398"/>
      <c r="AC231" s="398"/>
      <c r="AD231" s="398"/>
      <c r="AE231" s="398"/>
      <c r="AF231" s="398"/>
      <c r="AG231" s="398"/>
      <c r="AH231" s="398"/>
      <c r="AI231" s="398"/>
    </row>
    <row r="232" spans="1:35">
      <c r="A232" s="398"/>
      <c r="B232" s="398"/>
      <c r="C232" s="398"/>
      <c r="D232" s="398"/>
      <c r="E232" s="398"/>
      <c r="F232" s="398"/>
      <c r="G232" s="398"/>
      <c r="H232" s="398"/>
      <c r="I232" s="398"/>
      <c r="J232" s="398"/>
      <c r="K232" s="398"/>
      <c r="L232" s="398"/>
      <c r="M232" s="398"/>
      <c r="N232" s="398"/>
      <c r="O232" s="398"/>
      <c r="P232" s="398"/>
      <c r="Q232" s="398"/>
      <c r="R232" s="398"/>
      <c r="S232" s="398"/>
      <c r="T232" s="398"/>
      <c r="U232" s="398"/>
      <c r="V232" s="398"/>
      <c r="W232" s="398"/>
      <c r="X232" s="398"/>
      <c r="Y232" s="398"/>
      <c r="Z232" s="398"/>
      <c r="AA232" s="398"/>
      <c r="AB232" s="398"/>
      <c r="AC232" s="398"/>
      <c r="AD232" s="398"/>
      <c r="AE232" s="398"/>
      <c r="AF232" s="398"/>
      <c r="AG232" s="398"/>
      <c r="AH232" s="398"/>
      <c r="AI232" s="398"/>
    </row>
    <row r="233" spans="1:35">
      <c r="A233" s="398"/>
      <c r="B233" s="398"/>
      <c r="C233" s="398"/>
      <c r="D233" s="398"/>
      <c r="E233" s="398"/>
      <c r="F233" s="398"/>
      <c r="G233" s="398"/>
      <c r="H233" s="398"/>
      <c r="I233" s="398"/>
      <c r="J233" s="398"/>
      <c r="K233" s="398"/>
      <c r="L233" s="398"/>
      <c r="M233" s="398"/>
      <c r="N233" s="398"/>
      <c r="O233" s="398"/>
      <c r="P233" s="398"/>
      <c r="Q233" s="398"/>
      <c r="R233" s="398"/>
      <c r="S233" s="398"/>
      <c r="T233" s="398"/>
      <c r="U233" s="398"/>
      <c r="V233" s="398"/>
      <c r="W233" s="398"/>
      <c r="X233" s="398"/>
      <c r="Y233" s="398"/>
      <c r="Z233" s="398"/>
      <c r="AA233" s="398"/>
      <c r="AB233" s="398"/>
      <c r="AC233" s="398"/>
      <c r="AD233" s="398"/>
      <c r="AE233" s="398"/>
      <c r="AF233" s="398"/>
      <c r="AG233" s="398"/>
      <c r="AH233" s="398"/>
      <c r="AI233" s="398"/>
    </row>
    <row r="234" spans="1:35">
      <c r="A234" s="398"/>
      <c r="B234" s="398"/>
      <c r="C234" s="398"/>
      <c r="D234" s="398"/>
      <c r="E234" s="398"/>
      <c r="F234" s="398"/>
      <c r="G234" s="398"/>
      <c r="H234" s="398"/>
      <c r="I234" s="398"/>
      <c r="J234" s="398"/>
      <c r="K234" s="398"/>
      <c r="L234" s="398"/>
      <c r="M234" s="398"/>
      <c r="N234" s="398"/>
      <c r="O234" s="398"/>
      <c r="P234" s="398"/>
      <c r="Q234" s="398"/>
      <c r="R234" s="398"/>
      <c r="S234" s="398"/>
      <c r="T234" s="398"/>
      <c r="U234" s="398"/>
      <c r="V234" s="398"/>
      <c r="W234" s="398"/>
      <c r="X234" s="398"/>
      <c r="Y234" s="398"/>
      <c r="Z234" s="398"/>
      <c r="AA234" s="398"/>
      <c r="AB234" s="398"/>
      <c r="AC234" s="398"/>
      <c r="AD234" s="398"/>
      <c r="AE234" s="398"/>
      <c r="AF234" s="398"/>
      <c r="AG234" s="398"/>
      <c r="AH234" s="398"/>
      <c r="AI234" s="398"/>
    </row>
    <row r="235" spans="1:35">
      <c r="A235" s="398"/>
      <c r="B235" s="398"/>
      <c r="C235" s="398"/>
      <c r="D235" s="398"/>
      <c r="E235" s="398"/>
      <c r="F235" s="398"/>
      <c r="G235" s="398"/>
      <c r="H235" s="398"/>
      <c r="I235" s="398"/>
      <c r="J235" s="398"/>
      <c r="K235" s="398"/>
      <c r="L235" s="398"/>
      <c r="M235" s="398"/>
      <c r="N235" s="398"/>
      <c r="O235" s="398"/>
      <c r="P235" s="398"/>
      <c r="Q235" s="398"/>
      <c r="R235" s="398"/>
      <c r="S235" s="398"/>
      <c r="T235" s="398"/>
      <c r="U235" s="398"/>
      <c r="V235" s="398"/>
      <c r="W235" s="398"/>
      <c r="X235" s="398"/>
      <c r="Y235" s="398"/>
      <c r="Z235" s="398"/>
      <c r="AA235" s="398"/>
      <c r="AB235" s="398"/>
      <c r="AC235" s="398"/>
      <c r="AD235" s="398"/>
      <c r="AE235" s="398"/>
      <c r="AF235" s="398"/>
      <c r="AG235" s="398"/>
      <c r="AH235" s="398"/>
      <c r="AI235" s="398"/>
    </row>
    <row r="236" spans="1:35">
      <c r="A236" s="398"/>
      <c r="B236" s="398"/>
      <c r="C236" s="398"/>
      <c r="D236" s="398"/>
      <c r="E236" s="398"/>
      <c r="F236" s="398"/>
      <c r="G236" s="398"/>
      <c r="H236" s="398"/>
      <c r="I236" s="398"/>
      <c r="J236" s="398"/>
      <c r="K236" s="398"/>
      <c r="L236" s="398"/>
      <c r="M236" s="398"/>
      <c r="N236" s="398"/>
      <c r="O236" s="398"/>
      <c r="P236" s="398"/>
      <c r="Q236" s="398"/>
      <c r="R236" s="398"/>
      <c r="S236" s="398"/>
      <c r="T236" s="398"/>
      <c r="U236" s="398"/>
      <c r="V236" s="398"/>
      <c r="W236" s="398"/>
      <c r="X236" s="398"/>
      <c r="Y236" s="398"/>
      <c r="Z236" s="398"/>
      <c r="AA236" s="398"/>
      <c r="AB236" s="398"/>
      <c r="AC236" s="398"/>
      <c r="AD236" s="398"/>
      <c r="AE236" s="398"/>
      <c r="AF236" s="398"/>
      <c r="AG236" s="398"/>
      <c r="AH236" s="398"/>
      <c r="AI236" s="398"/>
    </row>
    <row r="237" spans="1:35">
      <c r="A237" s="398"/>
      <c r="B237" s="398"/>
      <c r="C237" s="398"/>
      <c r="D237" s="398"/>
      <c r="E237" s="398"/>
      <c r="F237" s="398"/>
      <c r="G237" s="398"/>
      <c r="H237" s="398"/>
      <c r="I237" s="398"/>
      <c r="J237" s="398"/>
      <c r="K237" s="398"/>
      <c r="L237" s="398"/>
      <c r="M237" s="398"/>
      <c r="N237" s="398"/>
      <c r="O237" s="398"/>
      <c r="P237" s="398"/>
      <c r="Q237" s="398"/>
      <c r="R237" s="398"/>
      <c r="S237" s="398"/>
      <c r="T237" s="398"/>
      <c r="U237" s="398"/>
      <c r="V237" s="398"/>
      <c r="W237" s="398"/>
      <c r="X237" s="398"/>
      <c r="Y237" s="398"/>
      <c r="Z237" s="398"/>
      <c r="AA237" s="398"/>
      <c r="AB237" s="398"/>
      <c r="AC237" s="398"/>
      <c r="AD237" s="398"/>
      <c r="AE237" s="398"/>
      <c r="AF237" s="398"/>
      <c r="AG237" s="398"/>
      <c r="AH237" s="398"/>
      <c r="AI237" s="398"/>
    </row>
    <row r="238" spans="1:35">
      <c r="A238" s="398"/>
      <c r="B238" s="398"/>
      <c r="C238" s="398"/>
      <c r="D238" s="398"/>
      <c r="E238" s="398"/>
      <c r="F238" s="398"/>
      <c r="G238" s="398"/>
      <c r="H238" s="398"/>
      <c r="I238" s="398"/>
      <c r="J238" s="398"/>
      <c r="K238" s="398"/>
      <c r="L238" s="398"/>
      <c r="M238" s="398"/>
      <c r="N238" s="398"/>
      <c r="O238" s="398"/>
      <c r="P238" s="398"/>
      <c r="Q238" s="398"/>
      <c r="R238" s="398"/>
      <c r="S238" s="398"/>
      <c r="T238" s="398"/>
      <c r="U238" s="398"/>
      <c r="V238" s="398"/>
      <c r="W238" s="398"/>
      <c r="X238" s="398"/>
      <c r="Y238" s="398"/>
      <c r="Z238" s="398"/>
      <c r="AA238" s="398"/>
      <c r="AB238" s="398"/>
      <c r="AC238" s="398"/>
      <c r="AD238" s="398"/>
      <c r="AE238" s="398"/>
      <c r="AF238" s="398"/>
      <c r="AG238" s="398"/>
      <c r="AH238" s="398"/>
      <c r="AI238" s="398"/>
    </row>
    <row r="239" spans="1:35">
      <c r="A239" s="398"/>
      <c r="B239" s="398"/>
      <c r="C239" s="398"/>
      <c r="D239" s="398"/>
      <c r="E239" s="398"/>
      <c r="F239" s="398"/>
      <c r="G239" s="398"/>
      <c r="H239" s="398"/>
      <c r="I239" s="398"/>
      <c r="J239" s="398"/>
      <c r="K239" s="398"/>
      <c r="L239" s="398"/>
      <c r="M239" s="398"/>
      <c r="N239" s="398"/>
      <c r="O239" s="398"/>
      <c r="P239" s="398"/>
      <c r="Q239" s="398"/>
      <c r="R239" s="398"/>
      <c r="S239" s="398"/>
      <c r="T239" s="398"/>
      <c r="U239" s="398"/>
      <c r="V239" s="398"/>
      <c r="W239" s="398"/>
      <c r="X239" s="398"/>
      <c r="Y239" s="398"/>
      <c r="Z239" s="398"/>
      <c r="AA239" s="398"/>
      <c r="AB239" s="398"/>
      <c r="AC239" s="398"/>
      <c r="AD239" s="398"/>
      <c r="AE239" s="398"/>
      <c r="AF239" s="398"/>
      <c r="AG239" s="398"/>
      <c r="AH239" s="398"/>
      <c r="AI239" s="398"/>
    </row>
    <row r="240" spans="1:35">
      <c r="A240" s="398"/>
      <c r="B240" s="398"/>
      <c r="C240" s="398"/>
      <c r="D240" s="398"/>
      <c r="E240" s="398"/>
      <c r="F240" s="398"/>
      <c r="G240" s="398"/>
      <c r="H240" s="398"/>
      <c r="I240" s="398"/>
      <c r="J240" s="398"/>
      <c r="K240" s="398"/>
      <c r="L240" s="398"/>
      <c r="M240" s="398"/>
      <c r="N240" s="398"/>
      <c r="O240" s="398"/>
      <c r="P240" s="398"/>
      <c r="Q240" s="398"/>
      <c r="R240" s="398"/>
      <c r="S240" s="398"/>
      <c r="T240" s="398"/>
      <c r="U240" s="398"/>
      <c r="V240" s="398"/>
      <c r="W240" s="398"/>
      <c r="X240" s="398"/>
      <c r="Y240" s="398"/>
      <c r="Z240" s="398"/>
      <c r="AA240" s="398"/>
      <c r="AB240" s="398"/>
      <c r="AC240" s="398"/>
      <c r="AD240" s="398"/>
      <c r="AE240" s="398"/>
      <c r="AF240" s="398"/>
      <c r="AG240" s="398"/>
      <c r="AH240" s="398"/>
      <c r="AI240" s="398"/>
    </row>
    <row r="241" spans="1:35">
      <c r="A241" s="398"/>
      <c r="B241" s="398"/>
      <c r="C241" s="398"/>
      <c r="D241" s="398"/>
      <c r="E241" s="398"/>
      <c r="F241" s="398"/>
      <c r="G241" s="398"/>
      <c r="H241" s="398"/>
      <c r="I241" s="398"/>
      <c r="J241" s="398"/>
      <c r="K241" s="398"/>
      <c r="L241" s="398"/>
      <c r="M241" s="398"/>
      <c r="N241" s="398"/>
      <c r="O241" s="398"/>
      <c r="P241" s="398"/>
      <c r="Q241" s="398"/>
      <c r="R241" s="398"/>
      <c r="S241" s="398"/>
      <c r="T241" s="398"/>
      <c r="U241" s="398"/>
      <c r="V241" s="398"/>
      <c r="W241" s="398"/>
      <c r="X241" s="398"/>
      <c r="Y241" s="398"/>
      <c r="Z241" s="398"/>
      <c r="AA241" s="398"/>
      <c r="AB241" s="398"/>
      <c r="AC241" s="398"/>
      <c r="AD241" s="398"/>
      <c r="AE241" s="398"/>
      <c r="AF241" s="398"/>
      <c r="AG241" s="398"/>
      <c r="AH241" s="398"/>
      <c r="AI241" s="398"/>
    </row>
    <row r="242" spans="1:35">
      <c r="A242" s="398"/>
      <c r="B242" s="398"/>
      <c r="C242" s="398"/>
      <c r="D242" s="398"/>
      <c r="E242" s="398"/>
      <c r="F242" s="398"/>
      <c r="G242" s="398"/>
      <c r="H242" s="398"/>
      <c r="I242" s="398"/>
      <c r="J242" s="398"/>
      <c r="K242" s="398"/>
      <c r="L242" s="398"/>
      <c r="M242" s="398"/>
      <c r="N242" s="398"/>
      <c r="O242" s="398"/>
      <c r="P242" s="398"/>
      <c r="Q242" s="398"/>
      <c r="R242" s="398"/>
      <c r="S242" s="398"/>
      <c r="T242" s="398"/>
      <c r="U242" s="398"/>
      <c r="V242" s="398"/>
      <c r="W242" s="398"/>
      <c r="X242" s="398"/>
      <c r="Y242" s="398"/>
      <c r="Z242" s="398"/>
      <c r="AA242" s="398"/>
      <c r="AB242" s="398"/>
      <c r="AC242" s="398"/>
      <c r="AD242" s="398"/>
      <c r="AE242" s="398"/>
      <c r="AF242" s="398"/>
      <c r="AG242" s="398"/>
      <c r="AH242" s="398"/>
      <c r="AI242" s="398"/>
    </row>
    <row r="243" spans="1:35">
      <c r="A243" s="398"/>
      <c r="B243" s="398"/>
      <c r="C243" s="398"/>
      <c r="D243" s="398"/>
      <c r="E243" s="398"/>
      <c r="F243" s="398"/>
      <c r="G243" s="398"/>
      <c r="H243" s="398"/>
      <c r="I243" s="398"/>
      <c r="J243" s="398"/>
      <c r="K243" s="398"/>
      <c r="L243" s="398"/>
      <c r="M243" s="398"/>
      <c r="N243" s="398"/>
      <c r="O243" s="398"/>
      <c r="P243" s="398"/>
      <c r="Q243" s="398"/>
      <c r="R243" s="398"/>
      <c r="S243" s="398"/>
      <c r="T243" s="398"/>
      <c r="U243" s="398"/>
      <c r="V243" s="398"/>
      <c r="W243" s="398"/>
      <c r="X243" s="398"/>
      <c r="Y243" s="398"/>
      <c r="Z243" s="398"/>
      <c r="AA243" s="398"/>
      <c r="AB243" s="398"/>
      <c r="AC243" s="398"/>
      <c r="AD243" s="398"/>
      <c r="AE243" s="398"/>
      <c r="AF243" s="398"/>
      <c r="AG243" s="398"/>
      <c r="AH243" s="398"/>
      <c r="AI243" s="398"/>
    </row>
    <row r="244" spans="1:35">
      <c r="A244" s="398"/>
      <c r="B244" s="398"/>
      <c r="C244" s="398"/>
      <c r="D244" s="398"/>
      <c r="E244" s="398"/>
      <c r="F244" s="398"/>
      <c r="G244" s="398"/>
      <c r="H244" s="398"/>
      <c r="I244" s="398"/>
      <c r="J244" s="398"/>
      <c r="K244" s="398"/>
      <c r="L244" s="398"/>
      <c r="M244" s="398"/>
      <c r="N244" s="398"/>
      <c r="O244" s="398"/>
      <c r="P244" s="398"/>
      <c r="Q244" s="398"/>
      <c r="R244" s="398"/>
      <c r="S244" s="398"/>
      <c r="T244" s="398"/>
      <c r="U244" s="398"/>
      <c r="V244" s="398"/>
      <c r="W244" s="398"/>
      <c r="X244" s="398"/>
      <c r="Y244" s="398"/>
      <c r="Z244" s="398"/>
      <c r="AA244" s="398"/>
      <c r="AB244" s="398"/>
      <c r="AC244" s="398"/>
      <c r="AD244" s="398"/>
      <c r="AE244" s="398"/>
      <c r="AF244" s="398"/>
      <c r="AG244" s="398"/>
      <c r="AH244" s="398"/>
      <c r="AI244" s="398"/>
    </row>
    <row r="245" spans="1:35">
      <c r="A245" s="398"/>
      <c r="B245" s="398"/>
      <c r="C245" s="398"/>
      <c r="D245" s="398"/>
      <c r="E245" s="398"/>
      <c r="F245" s="398"/>
      <c r="G245" s="398"/>
      <c r="H245" s="398"/>
      <c r="I245" s="398"/>
      <c r="J245" s="398"/>
      <c r="K245" s="398"/>
      <c r="L245" s="398"/>
      <c r="M245" s="398"/>
      <c r="N245" s="398"/>
      <c r="O245" s="398"/>
      <c r="P245" s="398"/>
      <c r="Q245" s="398"/>
      <c r="R245" s="398"/>
      <c r="S245" s="398"/>
      <c r="T245" s="398"/>
      <c r="U245" s="398"/>
      <c r="V245" s="398"/>
      <c r="W245" s="398"/>
      <c r="X245" s="398"/>
      <c r="Y245" s="398"/>
      <c r="Z245" s="398"/>
      <c r="AA245" s="398"/>
      <c r="AB245" s="398"/>
      <c r="AC245" s="398"/>
      <c r="AD245" s="398"/>
      <c r="AE245" s="398"/>
      <c r="AF245" s="398"/>
      <c r="AG245" s="398"/>
      <c r="AH245" s="398"/>
      <c r="AI245" s="398"/>
    </row>
    <row r="246" spans="1:35">
      <c r="A246" s="398"/>
      <c r="B246" s="398"/>
      <c r="C246" s="398"/>
      <c r="D246" s="398"/>
      <c r="E246" s="398"/>
      <c r="F246" s="398"/>
      <c r="G246" s="398"/>
      <c r="H246" s="398"/>
      <c r="I246" s="398"/>
      <c r="J246" s="398"/>
      <c r="K246" s="398"/>
      <c r="L246" s="398"/>
      <c r="M246" s="398"/>
      <c r="N246" s="398"/>
      <c r="O246" s="398"/>
      <c r="P246" s="398"/>
      <c r="Q246" s="398"/>
      <c r="R246" s="398"/>
      <c r="S246" s="398"/>
      <c r="T246" s="398"/>
      <c r="U246" s="398"/>
      <c r="V246" s="398"/>
      <c r="W246" s="398"/>
      <c r="X246" s="398"/>
      <c r="Y246" s="398"/>
      <c r="Z246" s="398"/>
      <c r="AA246" s="398"/>
      <c r="AB246" s="398"/>
      <c r="AC246" s="398"/>
      <c r="AD246" s="398"/>
      <c r="AE246" s="398"/>
      <c r="AF246" s="398"/>
      <c r="AG246" s="398"/>
      <c r="AH246" s="398"/>
      <c r="AI246" s="398"/>
    </row>
    <row r="247" spans="1:35">
      <c r="A247" s="398"/>
      <c r="B247" s="398"/>
      <c r="C247" s="398"/>
      <c r="D247" s="398"/>
      <c r="E247" s="398"/>
      <c r="F247" s="398"/>
      <c r="G247" s="398"/>
      <c r="H247" s="398"/>
      <c r="I247" s="398"/>
      <c r="J247" s="398"/>
      <c r="K247" s="398"/>
      <c r="L247" s="398"/>
      <c r="M247" s="398"/>
      <c r="N247" s="398"/>
      <c r="O247" s="398"/>
      <c r="P247" s="398"/>
      <c r="Q247" s="398"/>
      <c r="R247" s="398"/>
      <c r="S247" s="398"/>
      <c r="T247" s="398"/>
      <c r="U247" s="398"/>
      <c r="V247" s="398"/>
      <c r="W247" s="398"/>
      <c r="X247" s="398"/>
      <c r="Y247" s="398"/>
      <c r="Z247" s="398"/>
      <c r="AA247" s="398"/>
      <c r="AB247" s="398"/>
      <c r="AC247" s="398"/>
      <c r="AD247" s="398"/>
      <c r="AE247" s="398"/>
      <c r="AF247" s="398"/>
      <c r="AG247" s="398"/>
      <c r="AH247" s="398"/>
      <c r="AI247" s="398"/>
    </row>
    <row r="248" spans="1:35">
      <c r="A248" s="398"/>
      <c r="B248" s="398"/>
      <c r="C248" s="398"/>
      <c r="D248" s="398"/>
      <c r="E248" s="398"/>
      <c r="F248" s="398"/>
      <c r="G248" s="398"/>
      <c r="H248" s="398"/>
      <c r="I248" s="398"/>
      <c r="J248" s="398"/>
      <c r="K248" s="398"/>
      <c r="L248" s="398"/>
      <c r="M248" s="398"/>
      <c r="N248" s="398"/>
      <c r="O248" s="398"/>
      <c r="P248" s="398"/>
      <c r="Q248" s="398"/>
      <c r="R248" s="398"/>
      <c r="S248" s="398"/>
      <c r="T248" s="398"/>
      <c r="U248" s="398"/>
      <c r="V248" s="398"/>
      <c r="W248" s="398"/>
      <c r="X248" s="398"/>
      <c r="Y248" s="398"/>
      <c r="Z248" s="398"/>
      <c r="AA248" s="398"/>
      <c r="AB248" s="398"/>
      <c r="AC248" s="398"/>
      <c r="AD248" s="398"/>
      <c r="AE248" s="398"/>
      <c r="AF248" s="398"/>
      <c r="AG248" s="398"/>
      <c r="AH248" s="398"/>
      <c r="AI248" s="398"/>
    </row>
    <row r="249" spans="1:35">
      <c r="A249" s="398"/>
      <c r="B249" s="398"/>
      <c r="C249" s="398"/>
      <c r="D249" s="398"/>
      <c r="E249" s="398"/>
      <c r="F249" s="398"/>
      <c r="G249" s="398"/>
      <c r="H249" s="398"/>
      <c r="I249" s="398"/>
      <c r="J249" s="398"/>
      <c r="K249" s="398"/>
      <c r="L249" s="398"/>
      <c r="M249" s="398"/>
      <c r="N249" s="398"/>
      <c r="O249" s="398"/>
      <c r="P249" s="398"/>
      <c r="Q249" s="398"/>
      <c r="R249" s="398"/>
      <c r="S249" s="398"/>
      <c r="T249" s="398"/>
      <c r="U249" s="398"/>
      <c r="V249" s="398"/>
      <c r="W249" s="398"/>
      <c r="X249" s="398"/>
      <c r="Y249" s="398"/>
      <c r="Z249" s="398"/>
      <c r="AA249" s="398"/>
      <c r="AB249" s="398"/>
      <c r="AC249" s="398"/>
      <c r="AD249" s="398"/>
      <c r="AE249" s="398"/>
      <c r="AF249" s="398"/>
      <c r="AG249" s="398"/>
      <c r="AH249" s="398"/>
      <c r="AI249" s="398"/>
    </row>
    <row r="250" spans="1:35">
      <c r="A250" s="398"/>
      <c r="B250" s="398"/>
      <c r="C250" s="398"/>
      <c r="D250" s="398"/>
      <c r="E250" s="398"/>
      <c r="F250" s="398"/>
      <c r="G250" s="398"/>
      <c r="H250" s="398"/>
      <c r="I250" s="398"/>
      <c r="J250" s="398"/>
      <c r="K250" s="398"/>
      <c r="L250" s="398"/>
      <c r="M250" s="398"/>
      <c r="N250" s="398"/>
      <c r="O250" s="398"/>
      <c r="P250" s="398"/>
      <c r="Q250" s="398"/>
      <c r="R250" s="398"/>
      <c r="S250" s="398"/>
      <c r="T250" s="398"/>
      <c r="U250" s="398"/>
      <c r="V250" s="398"/>
      <c r="W250" s="398"/>
      <c r="X250" s="398"/>
      <c r="Y250" s="398"/>
      <c r="Z250" s="398"/>
      <c r="AA250" s="398"/>
      <c r="AB250" s="398"/>
      <c r="AC250" s="398"/>
      <c r="AD250" s="398"/>
      <c r="AE250" s="398"/>
      <c r="AF250" s="398"/>
      <c r="AG250" s="398"/>
      <c r="AH250" s="398"/>
      <c r="AI250" s="398"/>
    </row>
    <row r="251" spans="1:35">
      <c r="A251" s="398"/>
      <c r="B251" s="398"/>
      <c r="C251" s="398"/>
      <c r="D251" s="398"/>
      <c r="E251" s="398"/>
      <c r="F251" s="398"/>
      <c r="G251" s="398"/>
      <c r="H251" s="398"/>
      <c r="I251" s="398"/>
      <c r="J251" s="398"/>
      <c r="K251" s="398"/>
      <c r="L251" s="398"/>
      <c r="M251" s="398"/>
      <c r="N251" s="398"/>
      <c r="O251" s="398"/>
      <c r="P251" s="398"/>
      <c r="Q251" s="398"/>
      <c r="R251" s="398"/>
      <c r="S251" s="398"/>
      <c r="T251" s="398"/>
      <c r="U251" s="398"/>
      <c r="V251" s="398"/>
      <c r="W251" s="398"/>
      <c r="X251" s="398"/>
      <c r="Y251" s="398"/>
      <c r="Z251" s="398"/>
      <c r="AA251" s="398"/>
      <c r="AB251" s="398"/>
      <c r="AC251" s="398"/>
      <c r="AD251" s="398"/>
      <c r="AE251" s="398"/>
      <c r="AF251" s="398"/>
      <c r="AG251" s="398"/>
      <c r="AH251" s="398"/>
      <c r="AI251" s="398"/>
    </row>
    <row r="252" spans="1:35">
      <c r="A252" s="398"/>
      <c r="B252" s="398"/>
      <c r="C252" s="398"/>
      <c r="D252" s="398"/>
      <c r="E252" s="398"/>
      <c r="F252" s="398"/>
      <c r="G252" s="398"/>
      <c r="H252" s="398"/>
      <c r="I252" s="398"/>
      <c r="J252" s="398"/>
      <c r="K252" s="398"/>
      <c r="L252" s="398"/>
      <c r="M252" s="398"/>
      <c r="N252" s="398"/>
      <c r="O252" s="398"/>
      <c r="P252" s="398"/>
      <c r="Q252" s="398"/>
      <c r="R252" s="398"/>
      <c r="S252" s="398"/>
      <c r="T252" s="398"/>
      <c r="U252" s="398"/>
      <c r="V252" s="398"/>
      <c r="W252" s="398"/>
      <c r="X252" s="398"/>
      <c r="Y252" s="398"/>
      <c r="Z252" s="398"/>
      <c r="AA252" s="398"/>
      <c r="AB252" s="398"/>
      <c r="AC252" s="398"/>
      <c r="AD252" s="398"/>
      <c r="AE252" s="398"/>
      <c r="AF252" s="398"/>
      <c r="AG252" s="398"/>
      <c r="AH252" s="398"/>
      <c r="AI252" s="398"/>
    </row>
    <row r="253" spans="1:35">
      <c r="A253" s="398"/>
      <c r="B253" s="398"/>
      <c r="C253" s="398"/>
      <c r="D253" s="398"/>
      <c r="E253" s="398"/>
      <c r="F253" s="398"/>
      <c r="G253" s="398"/>
      <c r="H253" s="398"/>
      <c r="I253" s="398"/>
      <c r="J253" s="398"/>
      <c r="K253" s="398"/>
      <c r="L253" s="398"/>
      <c r="M253" s="398"/>
      <c r="N253" s="398"/>
      <c r="O253" s="398"/>
      <c r="P253" s="398"/>
      <c r="Q253" s="398"/>
      <c r="R253" s="398"/>
      <c r="S253" s="398"/>
      <c r="T253" s="398"/>
      <c r="U253" s="398"/>
      <c r="V253" s="398"/>
      <c r="W253" s="398"/>
      <c r="X253" s="398"/>
      <c r="Y253" s="398"/>
      <c r="Z253" s="398"/>
      <c r="AA253" s="398"/>
      <c r="AB253" s="398"/>
      <c r="AC253" s="398"/>
      <c r="AD253" s="398"/>
      <c r="AE253" s="398"/>
      <c r="AF253" s="398"/>
      <c r="AG253" s="398"/>
      <c r="AH253" s="398"/>
      <c r="AI253" s="398"/>
    </row>
    <row r="254" spans="1:35">
      <c r="A254" s="398"/>
      <c r="B254" s="398"/>
      <c r="C254" s="398"/>
      <c r="D254" s="398"/>
      <c r="E254" s="398"/>
      <c r="F254" s="398"/>
      <c r="G254" s="398"/>
      <c r="H254" s="398"/>
      <c r="I254" s="398"/>
      <c r="J254" s="398"/>
      <c r="K254" s="398"/>
      <c r="L254" s="398"/>
      <c r="M254" s="398"/>
      <c r="N254" s="398"/>
      <c r="O254" s="398"/>
      <c r="P254" s="398"/>
      <c r="Q254" s="398"/>
      <c r="R254" s="398"/>
      <c r="S254" s="398"/>
      <c r="T254" s="398"/>
      <c r="U254" s="398"/>
      <c r="V254" s="398"/>
      <c r="W254" s="398"/>
      <c r="X254" s="398"/>
      <c r="Y254" s="398"/>
      <c r="Z254" s="398"/>
      <c r="AA254" s="398"/>
      <c r="AB254" s="398"/>
      <c r="AC254" s="398"/>
      <c r="AD254" s="398"/>
      <c r="AE254" s="398"/>
      <c r="AF254" s="398"/>
      <c r="AG254" s="398"/>
      <c r="AH254" s="398"/>
      <c r="AI254" s="398"/>
    </row>
    <row r="255" spans="1:35">
      <c r="A255" s="398"/>
      <c r="B255" s="398"/>
      <c r="C255" s="398"/>
      <c r="D255" s="398"/>
      <c r="E255" s="398"/>
      <c r="F255" s="398"/>
      <c r="G255" s="398"/>
      <c r="H255" s="398"/>
      <c r="I255" s="398"/>
      <c r="J255" s="398"/>
      <c r="K255" s="398"/>
      <c r="L255" s="398"/>
      <c r="M255" s="398"/>
      <c r="N255" s="398"/>
      <c r="O255" s="398"/>
      <c r="P255" s="398"/>
      <c r="Q255" s="398"/>
      <c r="R255" s="398"/>
      <c r="S255" s="398"/>
      <c r="T255" s="398"/>
      <c r="U255" s="398"/>
      <c r="V255" s="398"/>
      <c r="W255" s="398"/>
      <c r="X255" s="398"/>
      <c r="Y255" s="398"/>
      <c r="Z255" s="398"/>
      <c r="AA255" s="398"/>
      <c r="AB255" s="398"/>
      <c r="AC255" s="398"/>
      <c r="AD255" s="398"/>
      <c r="AE255" s="398"/>
      <c r="AF255" s="398"/>
      <c r="AG255" s="398"/>
      <c r="AH255" s="398"/>
      <c r="AI255" s="398"/>
    </row>
    <row r="256" spans="1:35">
      <c r="A256" s="398"/>
      <c r="B256" s="398"/>
      <c r="C256" s="398"/>
      <c r="D256" s="398"/>
      <c r="E256" s="398"/>
      <c r="F256" s="398"/>
      <c r="G256" s="398"/>
      <c r="H256" s="398"/>
      <c r="I256" s="398"/>
      <c r="J256" s="398"/>
      <c r="K256" s="398"/>
      <c r="L256" s="398"/>
      <c r="M256" s="398"/>
      <c r="N256" s="398"/>
      <c r="O256" s="398"/>
      <c r="P256" s="398"/>
      <c r="Q256" s="398"/>
      <c r="R256" s="398"/>
      <c r="S256" s="398"/>
      <c r="T256" s="398"/>
      <c r="U256" s="398"/>
      <c r="V256" s="398"/>
      <c r="W256" s="398"/>
      <c r="X256" s="398"/>
      <c r="Y256" s="398"/>
      <c r="Z256" s="398"/>
      <c r="AA256" s="398"/>
      <c r="AB256" s="398"/>
      <c r="AC256" s="398"/>
      <c r="AD256" s="398"/>
      <c r="AE256" s="398"/>
      <c r="AF256" s="398"/>
      <c r="AG256" s="398"/>
      <c r="AH256" s="398"/>
      <c r="AI256" s="398"/>
    </row>
    <row r="257" spans="1:35">
      <c r="A257" s="398"/>
      <c r="B257" s="398"/>
      <c r="C257" s="398"/>
      <c r="D257" s="398"/>
      <c r="E257" s="398"/>
      <c r="F257" s="398"/>
      <c r="G257" s="398"/>
      <c r="H257" s="398"/>
      <c r="I257" s="398"/>
      <c r="J257" s="398"/>
      <c r="K257" s="398"/>
      <c r="L257" s="398"/>
      <c r="M257" s="398"/>
      <c r="N257" s="398"/>
      <c r="O257" s="398"/>
      <c r="P257" s="398"/>
      <c r="Q257" s="398"/>
      <c r="R257" s="398"/>
      <c r="S257" s="398"/>
      <c r="T257" s="398"/>
      <c r="U257" s="398"/>
      <c r="V257" s="398"/>
      <c r="W257" s="398"/>
      <c r="X257" s="398"/>
      <c r="Y257" s="398"/>
      <c r="Z257" s="398"/>
      <c r="AA257" s="398"/>
      <c r="AB257" s="398"/>
      <c r="AC257" s="398"/>
      <c r="AD257" s="398"/>
      <c r="AE257" s="398"/>
      <c r="AF257" s="398"/>
      <c r="AG257" s="398"/>
      <c r="AH257" s="398"/>
      <c r="AI257" s="398"/>
    </row>
    <row r="258" spans="1:35">
      <c r="A258" s="398"/>
      <c r="B258" s="398"/>
      <c r="C258" s="398"/>
      <c r="D258" s="398"/>
      <c r="E258" s="398"/>
      <c r="F258" s="398"/>
      <c r="G258" s="398"/>
      <c r="H258" s="398"/>
      <c r="I258" s="398"/>
      <c r="J258" s="398"/>
      <c r="K258" s="398"/>
      <c r="L258" s="398"/>
      <c r="M258" s="398"/>
      <c r="N258" s="398"/>
      <c r="O258" s="398"/>
      <c r="P258" s="398"/>
      <c r="Q258" s="398"/>
      <c r="R258" s="398"/>
      <c r="S258" s="398"/>
      <c r="T258" s="398"/>
      <c r="U258" s="398"/>
      <c r="V258" s="398"/>
      <c r="W258" s="398"/>
      <c r="X258" s="398"/>
      <c r="Y258" s="398"/>
      <c r="Z258" s="398"/>
      <c r="AA258" s="398"/>
      <c r="AB258" s="398"/>
      <c r="AC258" s="398"/>
      <c r="AD258" s="398"/>
      <c r="AE258" s="398"/>
      <c r="AF258" s="398"/>
      <c r="AG258" s="398"/>
      <c r="AH258" s="398"/>
      <c r="AI258" s="398"/>
    </row>
    <row r="259" spans="1:35">
      <c r="A259" s="398"/>
      <c r="B259" s="398"/>
      <c r="C259" s="398"/>
      <c r="D259" s="398"/>
      <c r="E259" s="398"/>
      <c r="F259" s="398"/>
      <c r="G259" s="398"/>
      <c r="H259" s="398"/>
      <c r="I259" s="398"/>
      <c r="J259" s="398"/>
      <c r="K259" s="398"/>
      <c r="L259" s="398"/>
      <c r="M259" s="398"/>
      <c r="N259" s="398"/>
      <c r="O259" s="398"/>
      <c r="P259" s="398"/>
      <c r="Q259" s="398"/>
      <c r="R259" s="398"/>
      <c r="S259" s="398"/>
      <c r="T259" s="398"/>
      <c r="U259" s="398"/>
      <c r="V259" s="398"/>
      <c r="W259" s="398"/>
      <c r="X259" s="398"/>
      <c r="Y259" s="398"/>
      <c r="Z259" s="398"/>
      <c r="AA259" s="398"/>
      <c r="AB259" s="398"/>
      <c r="AC259" s="398"/>
      <c r="AD259" s="398"/>
      <c r="AE259" s="398"/>
      <c r="AF259" s="398"/>
      <c r="AG259" s="398"/>
      <c r="AH259" s="398"/>
      <c r="AI259" s="398"/>
    </row>
    <row r="260" spans="1:35">
      <c r="A260" s="398"/>
      <c r="B260" s="398"/>
      <c r="C260" s="398"/>
      <c r="D260" s="398"/>
      <c r="E260" s="398"/>
      <c r="F260" s="398"/>
      <c r="G260" s="398"/>
      <c r="H260" s="398"/>
      <c r="I260" s="398"/>
      <c r="J260" s="398"/>
      <c r="K260" s="398"/>
      <c r="L260" s="398"/>
      <c r="M260" s="398"/>
      <c r="N260" s="398"/>
      <c r="O260" s="398"/>
      <c r="P260" s="398"/>
      <c r="Q260" s="398"/>
      <c r="R260" s="398"/>
      <c r="S260" s="398"/>
      <c r="T260" s="398"/>
      <c r="U260" s="398"/>
      <c r="V260" s="398"/>
      <c r="W260" s="398"/>
      <c r="X260" s="398"/>
      <c r="Y260" s="398"/>
      <c r="Z260" s="398"/>
      <c r="AA260" s="398"/>
      <c r="AB260" s="398"/>
      <c r="AC260" s="398"/>
      <c r="AD260" s="398"/>
      <c r="AE260" s="398"/>
      <c r="AF260" s="398"/>
      <c r="AG260" s="398"/>
      <c r="AH260" s="398"/>
      <c r="AI260" s="398"/>
    </row>
    <row r="261" spans="1:35">
      <c r="A261" s="398"/>
      <c r="B261" s="398"/>
      <c r="C261" s="398"/>
      <c r="D261" s="398"/>
      <c r="E261" s="398"/>
      <c r="F261" s="398"/>
      <c r="G261" s="398"/>
      <c r="H261" s="398"/>
      <c r="I261" s="398"/>
      <c r="J261" s="398"/>
      <c r="K261" s="398"/>
      <c r="L261" s="398"/>
      <c r="M261" s="398"/>
      <c r="N261" s="398"/>
      <c r="O261" s="398"/>
      <c r="P261" s="398"/>
      <c r="Q261" s="398"/>
      <c r="R261" s="398"/>
      <c r="S261" s="398"/>
      <c r="T261" s="398"/>
      <c r="U261" s="398"/>
      <c r="V261" s="398"/>
      <c r="W261" s="398"/>
      <c r="X261" s="398"/>
      <c r="Y261" s="398"/>
      <c r="Z261" s="398"/>
      <c r="AA261" s="398"/>
      <c r="AB261" s="398"/>
      <c r="AC261" s="398"/>
      <c r="AD261" s="398"/>
      <c r="AE261" s="398"/>
      <c r="AF261" s="398"/>
      <c r="AG261" s="398"/>
      <c r="AH261" s="398"/>
      <c r="AI261" s="398"/>
    </row>
    <row r="262" spans="1:35">
      <c r="A262" s="398"/>
      <c r="B262" s="398"/>
      <c r="C262" s="398"/>
      <c r="D262" s="398"/>
      <c r="E262" s="398"/>
      <c r="F262" s="398"/>
      <c r="G262" s="398"/>
      <c r="H262" s="398"/>
      <c r="I262" s="398"/>
      <c r="J262" s="398"/>
      <c r="K262" s="398"/>
      <c r="L262" s="398"/>
      <c r="M262" s="398"/>
      <c r="N262" s="398"/>
      <c r="O262" s="398"/>
      <c r="P262" s="398"/>
      <c r="Q262" s="398"/>
      <c r="R262" s="398"/>
      <c r="S262" s="398"/>
      <c r="T262" s="398"/>
      <c r="U262" s="398"/>
      <c r="V262" s="398"/>
      <c r="W262" s="398"/>
      <c r="X262" s="398"/>
      <c r="Y262" s="398"/>
      <c r="Z262" s="398"/>
      <c r="AA262" s="398"/>
      <c r="AB262" s="398"/>
      <c r="AC262" s="398"/>
      <c r="AD262" s="398"/>
      <c r="AE262" s="398"/>
      <c r="AF262" s="398"/>
      <c r="AG262" s="398"/>
      <c r="AH262" s="398"/>
      <c r="AI262" s="398"/>
    </row>
    <row r="263" spans="1:35">
      <c r="A263" s="398"/>
      <c r="B263" s="398"/>
      <c r="C263" s="398"/>
      <c r="D263" s="398"/>
      <c r="E263" s="398"/>
      <c r="F263" s="398"/>
      <c r="G263" s="398"/>
      <c r="H263" s="398"/>
      <c r="I263" s="398"/>
      <c r="J263" s="398"/>
      <c r="K263" s="398"/>
      <c r="L263" s="398"/>
      <c r="M263" s="398"/>
      <c r="N263" s="398"/>
      <c r="O263" s="398"/>
      <c r="P263" s="398"/>
      <c r="Q263" s="398"/>
      <c r="R263" s="398"/>
      <c r="S263" s="398"/>
      <c r="T263" s="398"/>
      <c r="U263" s="398"/>
      <c r="V263" s="398"/>
      <c r="W263" s="398"/>
      <c r="X263" s="398"/>
      <c r="Y263" s="398"/>
      <c r="Z263" s="398"/>
      <c r="AA263" s="398"/>
      <c r="AB263" s="398"/>
      <c r="AC263" s="398"/>
      <c r="AD263" s="398"/>
      <c r="AE263" s="398"/>
      <c r="AF263" s="398"/>
      <c r="AG263" s="398"/>
      <c r="AH263" s="398"/>
      <c r="AI263" s="398"/>
    </row>
    <row r="264" spans="1:35">
      <c r="A264" s="398"/>
      <c r="B264" s="398"/>
      <c r="C264" s="398"/>
      <c r="D264" s="398"/>
      <c r="E264" s="398"/>
      <c r="F264" s="398"/>
      <c r="G264" s="398"/>
      <c r="H264" s="398"/>
      <c r="I264" s="398"/>
      <c r="J264" s="398"/>
      <c r="K264" s="398"/>
      <c r="L264" s="398"/>
      <c r="M264" s="398"/>
      <c r="N264" s="398"/>
      <c r="O264" s="398"/>
      <c r="P264" s="398"/>
      <c r="Q264" s="398"/>
      <c r="R264" s="398"/>
      <c r="S264" s="398"/>
      <c r="T264" s="398"/>
      <c r="U264" s="398"/>
      <c r="V264" s="398"/>
      <c r="W264" s="398"/>
      <c r="X264" s="398"/>
      <c r="Y264" s="398"/>
      <c r="Z264" s="398"/>
      <c r="AA264" s="398"/>
      <c r="AB264" s="398"/>
      <c r="AC264" s="398"/>
      <c r="AD264" s="398"/>
      <c r="AE264" s="398"/>
      <c r="AF264" s="398"/>
      <c r="AG264" s="398"/>
      <c r="AH264" s="398"/>
      <c r="AI264" s="398"/>
    </row>
    <row r="265" spans="1:35">
      <c r="A265" s="398"/>
      <c r="B265" s="398"/>
      <c r="C265" s="398"/>
      <c r="D265" s="398"/>
      <c r="E265" s="398"/>
      <c r="F265" s="398"/>
      <c r="G265" s="398"/>
      <c r="H265" s="398"/>
      <c r="I265" s="398"/>
      <c r="J265" s="398"/>
      <c r="K265" s="398"/>
      <c r="L265" s="398"/>
      <c r="M265" s="398"/>
      <c r="N265" s="398"/>
      <c r="O265" s="398"/>
      <c r="P265" s="398"/>
      <c r="Q265" s="398"/>
      <c r="R265" s="398"/>
      <c r="S265" s="398"/>
      <c r="T265" s="398"/>
      <c r="U265" s="398"/>
      <c r="V265" s="398"/>
      <c r="W265" s="398"/>
      <c r="X265" s="398"/>
      <c r="Y265" s="398"/>
      <c r="Z265" s="398"/>
      <c r="AA265" s="398"/>
      <c r="AB265" s="398"/>
      <c r="AC265" s="398"/>
      <c r="AD265" s="398"/>
      <c r="AE265" s="398"/>
      <c r="AF265" s="398"/>
      <c r="AG265" s="398"/>
      <c r="AH265" s="398"/>
      <c r="AI265" s="398"/>
    </row>
    <row r="266" spans="1:35">
      <c r="A266" s="398"/>
      <c r="B266" s="398"/>
      <c r="C266" s="398"/>
      <c r="D266" s="398"/>
      <c r="E266" s="398"/>
      <c r="F266" s="398"/>
      <c r="G266" s="398"/>
      <c r="H266" s="398"/>
      <c r="I266" s="398"/>
      <c r="J266" s="398"/>
      <c r="K266" s="398"/>
      <c r="L266" s="398"/>
      <c r="M266" s="398"/>
      <c r="N266" s="398"/>
      <c r="O266" s="398"/>
      <c r="P266" s="398"/>
      <c r="Q266" s="398"/>
      <c r="R266" s="398"/>
      <c r="S266" s="398"/>
      <c r="T266" s="398"/>
      <c r="U266" s="398"/>
      <c r="V266" s="398"/>
      <c r="W266" s="398"/>
      <c r="X266" s="398"/>
      <c r="Y266" s="398"/>
      <c r="Z266" s="398"/>
      <c r="AA266" s="398"/>
      <c r="AB266" s="398"/>
      <c r="AC266" s="398"/>
      <c r="AD266" s="398"/>
      <c r="AE266" s="398"/>
      <c r="AF266" s="398"/>
      <c r="AG266" s="398"/>
      <c r="AH266" s="398"/>
      <c r="AI266" s="398"/>
    </row>
    <row r="267" spans="1:35">
      <c r="A267" s="398"/>
      <c r="B267" s="398"/>
      <c r="C267" s="398"/>
      <c r="D267" s="398"/>
      <c r="E267" s="398"/>
      <c r="F267" s="398"/>
      <c r="G267" s="398"/>
      <c r="H267" s="398"/>
      <c r="I267" s="398"/>
      <c r="J267" s="398"/>
      <c r="K267" s="398"/>
      <c r="L267" s="398"/>
      <c r="M267" s="398"/>
      <c r="N267" s="398"/>
      <c r="O267" s="398"/>
      <c r="P267" s="398"/>
      <c r="Q267" s="398"/>
      <c r="R267" s="398"/>
      <c r="S267" s="398"/>
      <c r="T267" s="398"/>
      <c r="U267" s="398"/>
      <c r="V267" s="398"/>
      <c r="W267" s="398"/>
      <c r="X267" s="398"/>
      <c r="Y267" s="398"/>
      <c r="Z267" s="398"/>
      <c r="AA267" s="398"/>
      <c r="AB267" s="398"/>
      <c r="AC267" s="398"/>
      <c r="AD267" s="398"/>
      <c r="AE267" s="398"/>
      <c r="AF267" s="398"/>
      <c r="AG267" s="398"/>
      <c r="AH267" s="398"/>
      <c r="AI267" s="398"/>
    </row>
    <row r="268" spans="1:35">
      <c r="A268" s="398"/>
      <c r="B268" s="398"/>
      <c r="C268" s="398"/>
      <c r="D268" s="398"/>
      <c r="E268" s="398"/>
      <c r="F268" s="398"/>
      <c r="G268" s="398"/>
      <c r="H268" s="398"/>
      <c r="I268" s="398"/>
      <c r="J268" s="398"/>
      <c r="K268" s="398"/>
      <c r="L268" s="398"/>
      <c r="M268" s="398"/>
      <c r="N268" s="398"/>
      <c r="O268" s="398"/>
      <c r="P268" s="398"/>
      <c r="Q268" s="398"/>
      <c r="R268" s="398"/>
      <c r="S268" s="398"/>
      <c r="T268" s="398"/>
      <c r="U268" s="398"/>
      <c r="V268" s="398"/>
      <c r="W268" s="398"/>
      <c r="X268" s="398"/>
      <c r="Y268" s="398"/>
      <c r="Z268" s="398"/>
      <c r="AA268" s="398"/>
      <c r="AB268" s="398"/>
      <c r="AC268" s="398"/>
      <c r="AD268" s="398"/>
      <c r="AE268" s="398"/>
      <c r="AF268" s="398"/>
      <c r="AG268" s="398"/>
      <c r="AH268" s="398"/>
      <c r="AI268" s="398"/>
    </row>
    <row r="269" spans="1:35">
      <c r="A269" s="398"/>
      <c r="B269" s="398"/>
      <c r="C269" s="398"/>
      <c r="D269" s="398"/>
      <c r="E269" s="398"/>
      <c r="F269" s="398"/>
      <c r="G269" s="398"/>
      <c r="H269" s="398"/>
      <c r="I269" s="398"/>
      <c r="J269" s="398"/>
      <c r="K269" s="398"/>
      <c r="L269" s="398"/>
      <c r="M269" s="398"/>
      <c r="N269" s="398"/>
      <c r="O269" s="398"/>
      <c r="P269" s="398"/>
      <c r="Q269" s="398"/>
      <c r="R269" s="398"/>
      <c r="S269" s="398"/>
      <c r="T269" s="398"/>
      <c r="U269" s="398"/>
      <c r="V269" s="398"/>
      <c r="W269" s="398"/>
      <c r="X269" s="398"/>
      <c r="Y269" s="398"/>
      <c r="Z269" s="398"/>
      <c r="AA269" s="398"/>
      <c r="AB269" s="398"/>
      <c r="AC269" s="398"/>
      <c r="AD269" s="398"/>
      <c r="AE269" s="398"/>
      <c r="AF269" s="398"/>
      <c r="AG269" s="398"/>
      <c r="AH269" s="398"/>
      <c r="AI269" s="398"/>
    </row>
    <row r="270" spans="1:35">
      <c r="A270" s="398"/>
      <c r="B270" s="398"/>
      <c r="C270" s="398"/>
      <c r="D270" s="398"/>
      <c r="E270" s="398"/>
      <c r="F270" s="398"/>
      <c r="G270" s="398"/>
      <c r="H270" s="398"/>
      <c r="I270" s="398"/>
      <c r="J270" s="398"/>
      <c r="K270" s="398"/>
      <c r="L270" s="398"/>
      <c r="M270" s="398"/>
      <c r="N270" s="398"/>
      <c r="O270" s="398"/>
      <c r="P270" s="398"/>
      <c r="Q270" s="398"/>
      <c r="R270" s="398"/>
      <c r="S270" s="398"/>
      <c r="T270" s="398"/>
      <c r="U270" s="398"/>
      <c r="V270" s="398"/>
      <c r="W270" s="398"/>
      <c r="X270" s="398"/>
      <c r="Y270" s="398"/>
      <c r="Z270" s="398"/>
      <c r="AA270" s="398"/>
      <c r="AB270" s="398"/>
      <c r="AC270" s="398"/>
      <c r="AD270" s="398"/>
      <c r="AE270" s="398"/>
      <c r="AF270" s="398"/>
      <c r="AG270" s="398"/>
      <c r="AH270" s="398"/>
      <c r="AI270" s="398"/>
    </row>
    <row r="271" spans="1:35">
      <c r="A271" s="398"/>
      <c r="B271" s="398"/>
      <c r="C271" s="398"/>
      <c r="D271" s="398"/>
      <c r="E271" s="398"/>
      <c r="F271" s="398"/>
      <c r="G271" s="398"/>
      <c r="H271" s="398"/>
      <c r="I271" s="398"/>
      <c r="J271" s="398"/>
      <c r="K271" s="398"/>
      <c r="L271" s="398"/>
      <c r="M271" s="398"/>
      <c r="N271" s="398"/>
      <c r="O271" s="398"/>
      <c r="P271" s="398"/>
      <c r="Q271" s="398"/>
      <c r="R271" s="398"/>
      <c r="S271" s="398"/>
      <c r="T271" s="398"/>
      <c r="U271" s="398"/>
      <c r="V271" s="398"/>
      <c r="W271" s="398"/>
      <c r="X271" s="398"/>
      <c r="Y271" s="398"/>
      <c r="Z271" s="398"/>
      <c r="AA271" s="398"/>
      <c r="AB271" s="398"/>
      <c r="AC271" s="398"/>
      <c r="AD271" s="398"/>
      <c r="AE271" s="398"/>
      <c r="AF271" s="398"/>
      <c r="AG271" s="398"/>
      <c r="AH271" s="398"/>
      <c r="AI271" s="398"/>
    </row>
    <row r="272" spans="1:35">
      <c r="A272" s="398"/>
      <c r="B272" s="398"/>
      <c r="C272" s="398"/>
      <c r="D272" s="398"/>
      <c r="E272" s="398"/>
      <c r="F272" s="398"/>
      <c r="G272" s="398"/>
      <c r="H272" s="398"/>
      <c r="I272" s="398"/>
      <c r="J272" s="398"/>
      <c r="K272" s="398"/>
      <c r="L272" s="398"/>
      <c r="M272" s="398"/>
      <c r="N272" s="398"/>
      <c r="O272" s="398"/>
      <c r="P272" s="398"/>
      <c r="Q272" s="398"/>
      <c r="R272" s="398"/>
      <c r="S272" s="398"/>
      <c r="T272" s="398"/>
      <c r="U272" s="398"/>
      <c r="V272" s="398"/>
      <c r="W272" s="398"/>
      <c r="X272" s="398"/>
      <c r="Y272" s="398"/>
      <c r="Z272" s="398"/>
      <c r="AA272" s="398"/>
      <c r="AB272" s="398"/>
      <c r="AC272" s="398"/>
      <c r="AD272" s="398"/>
      <c r="AE272" s="398"/>
      <c r="AF272" s="398"/>
      <c r="AG272" s="398"/>
      <c r="AH272" s="398"/>
      <c r="AI272" s="398"/>
    </row>
    <row r="273" spans="1:35">
      <c r="A273" s="398"/>
      <c r="B273" s="398"/>
      <c r="C273" s="398"/>
      <c r="D273" s="398"/>
      <c r="E273" s="398"/>
      <c r="F273" s="398"/>
      <c r="G273" s="398"/>
      <c r="H273" s="398"/>
      <c r="I273" s="398"/>
      <c r="J273" s="398"/>
      <c r="K273" s="398"/>
      <c r="L273" s="398"/>
      <c r="M273" s="398"/>
      <c r="N273" s="398"/>
      <c r="O273" s="398"/>
      <c r="P273" s="398"/>
      <c r="Q273" s="398"/>
      <c r="R273" s="398"/>
      <c r="S273" s="398"/>
      <c r="T273" s="398"/>
      <c r="U273" s="398"/>
      <c r="V273" s="398"/>
      <c r="W273" s="398"/>
      <c r="X273" s="398"/>
      <c r="Y273" s="398"/>
      <c r="Z273" s="398"/>
      <c r="AA273" s="398"/>
      <c r="AB273" s="398"/>
      <c r="AC273" s="398"/>
      <c r="AD273" s="398"/>
      <c r="AE273" s="398"/>
      <c r="AF273" s="398"/>
      <c r="AG273" s="398"/>
      <c r="AH273" s="398"/>
      <c r="AI273" s="398"/>
    </row>
    <row r="274" spans="1:35">
      <c r="A274" s="398"/>
      <c r="B274" s="398"/>
      <c r="C274" s="398"/>
      <c r="D274" s="398"/>
      <c r="E274" s="398"/>
      <c r="F274" s="398"/>
      <c r="G274" s="398"/>
      <c r="H274" s="398"/>
      <c r="I274" s="398"/>
      <c r="J274" s="398"/>
      <c r="K274" s="398"/>
      <c r="L274" s="398"/>
      <c r="M274" s="398"/>
      <c r="N274" s="398"/>
      <c r="O274" s="398"/>
      <c r="P274" s="398"/>
      <c r="Q274" s="398"/>
      <c r="R274" s="398"/>
      <c r="S274" s="398"/>
      <c r="T274" s="398"/>
      <c r="U274" s="398"/>
      <c r="V274" s="398"/>
      <c r="W274" s="398"/>
      <c r="X274" s="398"/>
      <c r="Y274" s="398"/>
      <c r="Z274" s="398"/>
      <c r="AA274" s="398"/>
      <c r="AB274" s="398"/>
      <c r="AC274" s="398"/>
      <c r="AD274" s="398"/>
      <c r="AE274" s="398"/>
      <c r="AF274" s="398"/>
      <c r="AG274" s="398"/>
      <c r="AH274" s="398"/>
      <c r="AI274" s="398"/>
    </row>
    <row r="275" spans="1:35">
      <c r="A275" s="398"/>
      <c r="B275" s="398"/>
      <c r="C275" s="398"/>
      <c r="D275" s="398"/>
      <c r="E275" s="398"/>
      <c r="F275" s="398"/>
      <c r="G275" s="398"/>
      <c r="H275" s="398"/>
      <c r="I275" s="398"/>
      <c r="J275" s="398"/>
      <c r="K275" s="398"/>
      <c r="L275" s="398"/>
      <c r="M275" s="398"/>
      <c r="N275" s="398"/>
      <c r="O275" s="398"/>
      <c r="P275" s="398"/>
      <c r="Q275" s="398"/>
      <c r="R275" s="398"/>
      <c r="S275" s="398"/>
      <c r="T275" s="398"/>
      <c r="U275" s="398"/>
      <c r="V275" s="398"/>
      <c r="W275" s="398"/>
      <c r="X275" s="398"/>
      <c r="Y275" s="398"/>
      <c r="Z275" s="398"/>
      <c r="AA275" s="398"/>
      <c r="AB275" s="398"/>
      <c r="AC275" s="398"/>
      <c r="AD275" s="398"/>
      <c r="AE275" s="398"/>
      <c r="AF275" s="398"/>
      <c r="AG275" s="398"/>
      <c r="AH275" s="398"/>
      <c r="AI275" s="398"/>
    </row>
    <row r="276" spans="1:35">
      <c r="A276" s="398"/>
      <c r="B276" s="398"/>
      <c r="C276" s="398"/>
      <c r="D276" s="398"/>
      <c r="E276" s="398"/>
      <c r="F276" s="398"/>
      <c r="G276" s="398"/>
      <c r="H276" s="398"/>
      <c r="I276" s="398"/>
      <c r="J276" s="398"/>
      <c r="K276" s="398"/>
      <c r="L276" s="398"/>
      <c r="M276" s="398"/>
      <c r="N276" s="398"/>
      <c r="O276" s="398"/>
      <c r="P276" s="398"/>
      <c r="Q276" s="398"/>
      <c r="R276" s="398"/>
      <c r="S276" s="398"/>
      <c r="T276" s="398"/>
      <c r="U276" s="398"/>
      <c r="V276" s="398"/>
      <c r="W276" s="398"/>
      <c r="X276" s="398"/>
      <c r="Y276" s="398"/>
      <c r="Z276" s="398"/>
      <c r="AA276" s="398"/>
      <c r="AB276" s="398"/>
      <c r="AC276" s="398"/>
      <c r="AD276" s="398"/>
      <c r="AE276" s="398"/>
      <c r="AF276" s="398"/>
      <c r="AG276" s="398"/>
      <c r="AH276" s="398"/>
      <c r="AI276" s="398"/>
    </row>
    <row r="277" spans="1:35">
      <c r="A277" s="398"/>
      <c r="B277" s="398"/>
      <c r="C277" s="398"/>
      <c r="D277" s="398"/>
      <c r="E277" s="398"/>
      <c r="F277" s="398"/>
      <c r="G277" s="398"/>
      <c r="H277" s="398"/>
      <c r="I277" s="398"/>
      <c r="J277" s="398"/>
      <c r="K277" s="398"/>
      <c r="L277" s="398"/>
      <c r="M277" s="398"/>
      <c r="N277" s="398"/>
      <c r="O277" s="398"/>
      <c r="P277" s="398"/>
      <c r="Q277" s="398"/>
      <c r="R277" s="398"/>
      <c r="S277" s="398"/>
      <c r="T277" s="398"/>
      <c r="U277" s="398"/>
      <c r="V277" s="398"/>
      <c r="W277" s="398"/>
      <c r="X277" s="398"/>
      <c r="Y277" s="398"/>
      <c r="Z277" s="398"/>
      <c r="AA277" s="398"/>
      <c r="AB277" s="398"/>
      <c r="AC277" s="398"/>
      <c r="AD277" s="398"/>
      <c r="AE277" s="398"/>
      <c r="AF277" s="398"/>
      <c r="AG277" s="398"/>
      <c r="AH277" s="398"/>
      <c r="AI277" s="398"/>
    </row>
    <row r="278" spans="1:35">
      <c r="A278" s="398"/>
      <c r="B278" s="398"/>
      <c r="C278" s="398"/>
      <c r="D278" s="398"/>
      <c r="E278" s="398"/>
      <c r="F278" s="398"/>
      <c r="G278" s="398"/>
      <c r="H278" s="398"/>
      <c r="I278" s="398"/>
      <c r="J278" s="398"/>
      <c r="K278" s="398"/>
      <c r="L278" s="398"/>
      <c r="M278" s="398"/>
      <c r="N278" s="398"/>
      <c r="O278" s="398"/>
      <c r="P278" s="398"/>
      <c r="Q278" s="398"/>
      <c r="R278" s="398"/>
      <c r="S278" s="398"/>
      <c r="T278" s="398"/>
      <c r="U278" s="398"/>
      <c r="V278" s="398"/>
      <c r="W278" s="398"/>
      <c r="X278" s="398"/>
      <c r="Y278" s="398"/>
      <c r="Z278" s="398"/>
      <c r="AA278" s="398"/>
      <c r="AB278" s="398"/>
      <c r="AC278" s="398"/>
      <c r="AD278" s="398"/>
      <c r="AE278" s="398"/>
      <c r="AF278" s="398"/>
      <c r="AG278" s="398"/>
      <c r="AH278" s="398"/>
      <c r="AI278" s="398"/>
    </row>
    <row r="279" spans="1:35">
      <c r="A279" s="398"/>
      <c r="B279" s="398"/>
      <c r="C279" s="398"/>
      <c r="D279" s="398"/>
      <c r="E279" s="398"/>
      <c r="F279" s="398"/>
      <c r="G279" s="398"/>
      <c r="H279" s="398"/>
      <c r="I279" s="398"/>
      <c r="J279" s="398"/>
      <c r="K279" s="398"/>
      <c r="L279" s="398"/>
      <c r="M279" s="398"/>
      <c r="N279" s="398"/>
      <c r="O279" s="398"/>
      <c r="P279" s="398"/>
      <c r="Q279" s="398"/>
      <c r="R279" s="398"/>
      <c r="S279" s="398"/>
      <c r="T279" s="398"/>
      <c r="U279" s="398"/>
      <c r="V279" s="398"/>
      <c r="W279" s="398"/>
      <c r="X279" s="398"/>
      <c r="Y279" s="398"/>
      <c r="Z279" s="398"/>
      <c r="AA279" s="398"/>
      <c r="AB279" s="398"/>
      <c r="AC279" s="398"/>
      <c r="AD279" s="398"/>
      <c r="AE279" s="398"/>
      <c r="AF279" s="398"/>
      <c r="AG279" s="398"/>
      <c r="AH279" s="398"/>
      <c r="AI279" s="398"/>
    </row>
    <row r="280" spans="1:35">
      <c r="A280" s="398"/>
      <c r="B280" s="398"/>
      <c r="C280" s="398"/>
      <c r="D280" s="398"/>
      <c r="E280" s="398"/>
      <c r="F280" s="398"/>
      <c r="G280" s="398"/>
      <c r="H280" s="398"/>
      <c r="I280" s="398"/>
      <c r="J280" s="398"/>
      <c r="K280" s="398"/>
      <c r="L280" s="398"/>
      <c r="M280" s="398"/>
      <c r="N280" s="398"/>
      <c r="O280" s="398"/>
      <c r="P280" s="398"/>
      <c r="Q280" s="398"/>
      <c r="R280" s="398"/>
      <c r="S280" s="398"/>
      <c r="T280" s="398"/>
      <c r="U280" s="398"/>
      <c r="V280" s="398"/>
      <c r="W280" s="398"/>
      <c r="X280" s="398"/>
      <c r="Y280" s="398"/>
      <c r="Z280" s="398"/>
      <c r="AA280" s="398"/>
      <c r="AB280" s="398"/>
      <c r="AC280" s="398"/>
      <c r="AD280" s="398"/>
      <c r="AE280" s="398"/>
      <c r="AF280" s="398"/>
      <c r="AG280" s="398"/>
      <c r="AH280" s="398"/>
      <c r="AI280" s="398"/>
    </row>
    <row r="281" spans="1:35">
      <c r="A281" s="398"/>
      <c r="B281" s="398"/>
      <c r="C281" s="398"/>
      <c r="D281" s="398"/>
      <c r="E281" s="398"/>
      <c r="F281" s="398"/>
      <c r="G281" s="398"/>
      <c r="H281" s="398"/>
      <c r="I281" s="398"/>
      <c r="J281" s="398"/>
      <c r="K281" s="398"/>
      <c r="L281" s="398"/>
      <c r="M281" s="398"/>
      <c r="N281" s="398"/>
      <c r="O281" s="398"/>
      <c r="P281" s="398"/>
      <c r="Q281" s="398"/>
      <c r="R281" s="398"/>
      <c r="S281" s="398"/>
      <c r="T281" s="398"/>
      <c r="U281" s="398"/>
      <c r="V281" s="398"/>
      <c r="W281" s="398"/>
      <c r="X281" s="398"/>
      <c r="Y281" s="398"/>
      <c r="Z281" s="398"/>
      <c r="AA281" s="398"/>
      <c r="AB281" s="398"/>
      <c r="AC281" s="398"/>
      <c r="AD281" s="398"/>
      <c r="AE281" s="398"/>
      <c r="AF281" s="398"/>
      <c r="AG281" s="398"/>
      <c r="AH281" s="398"/>
      <c r="AI281" s="398"/>
    </row>
    <row r="282" spans="1:35">
      <c r="A282" s="398"/>
      <c r="B282" s="398"/>
      <c r="C282" s="398"/>
      <c r="D282" s="398"/>
      <c r="E282" s="398"/>
      <c r="F282" s="398"/>
      <c r="G282" s="398"/>
      <c r="H282" s="398"/>
      <c r="I282" s="398"/>
      <c r="J282" s="398"/>
      <c r="K282" s="398"/>
      <c r="L282" s="398"/>
      <c r="M282" s="398"/>
      <c r="N282" s="398"/>
      <c r="O282" s="398"/>
      <c r="P282" s="398"/>
      <c r="Q282" s="398"/>
      <c r="R282" s="398"/>
      <c r="S282" s="398"/>
      <c r="T282" s="398"/>
      <c r="U282" s="398"/>
      <c r="V282" s="398"/>
      <c r="W282" s="398"/>
      <c r="X282" s="398"/>
      <c r="Y282" s="398"/>
      <c r="Z282" s="398"/>
      <c r="AA282" s="398"/>
      <c r="AB282" s="398"/>
      <c r="AC282" s="398"/>
      <c r="AD282" s="398"/>
      <c r="AE282" s="398"/>
      <c r="AF282" s="398"/>
      <c r="AG282" s="398"/>
      <c r="AH282" s="398"/>
      <c r="AI282" s="398"/>
    </row>
    <row r="283" spans="1:35">
      <c r="A283" s="398"/>
      <c r="B283" s="398"/>
      <c r="C283" s="398"/>
      <c r="D283" s="398"/>
      <c r="E283" s="398"/>
      <c r="F283" s="398"/>
      <c r="G283" s="398"/>
      <c r="H283" s="398"/>
      <c r="I283" s="398"/>
      <c r="J283" s="398"/>
      <c r="K283" s="398"/>
      <c r="L283" s="398"/>
      <c r="M283" s="398"/>
      <c r="N283" s="398"/>
      <c r="O283" s="398"/>
      <c r="P283" s="398"/>
      <c r="Q283" s="398"/>
      <c r="R283" s="398"/>
      <c r="S283" s="398"/>
      <c r="T283" s="398"/>
      <c r="U283" s="398"/>
      <c r="V283" s="398"/>
      <c r="W283" s="398"/>
      <c r="X283" s="398"/>
      <c r="Y283" s="398"/>
      <c r="Z283" s="398"/>
      <c r="AA283" s="398"/>
      <c r="AB283" s="398"/>
      <c r="AC283" s="398"/>
      <c r="AD283" s="398"/>
      <c r="AE283" s="398"/>
      <c r="AF283" s="398"/>
      <c r="AG283" s="398"/>
      <c r="AH283" s="398"/>
      <c r="AI283" s="398"/>
    </row>
    <row r="284" spans="1:35">
      <c r="A284" s="398"/>
      <c r="B284" s="398"/>
      <c r="C284" s="398"/>
      <c r="D284" s="398"/>
      <c r="E284" s="398"/>
      <c r="F284" s="398"/>
      <c r="G284" s="398"/>
      <c r="H284" s="398"/>
      <c r="I284" s="398"/>
      <c r="J284" s="398"/>
      <c r="K284" s="398"/>
      <c r="L284" s="398"/>
      <c r="M284" s="398"/>
      <c r="N284" s="398"/>
      <c r="O284" s="398"/>
      <c r="P284" s="398"/>
      <c r="Q284" s="398"/>
      <c r="R284" s="398"/>
      <c r="S284" s="398"/>
      <c r="T284" s="398"/>
      <c r="U284" s="398"/>
      <c r="V284" s="398"/>
      <c r="W284" s="398"/>
      <c r="X284" s="398"/>
      <c r="Y284" s="398"/>
      <c r="Z284" s="398"/>
      <c r="AA284" s="398"/>
      <c r="AB284" s="398"/>
      <c r="AC284" s="398"/>
      <c r="AD284" s="398"/>
      <c r="AE284" s="398"/>
      <c r="AF284" s="398"/>
      <c r="AG284" s="398"/>
      <c r="AH284" s="398"/>
      <c r="AI284" s="398"/>
    </row>
    <row r="285" spans="1:35">
      <c r="A285" s="398"/>
      <c r="B285" s="398"/>
      <c r="C285" s="398"/>
      <c r="D285" s="398"/>
      <c r="E285" s="398"/>
      <c r="F285" s="398"/>
      <c r="G285" s="398"/>
      <c r="H285" s="398"/>
      <c r="I285" s="398"/>
      <c r="J285" s="398"/>
      <c r="K285" s="398"/>
      <c r="L285" s="398"/>
      <c r="M285" s="398"/>
      <c r="N285" s="398"/>
      <c r="O285" s="398"/>
      <c r="P285" s="398"/>
      <c r="Q285" s="398"/>
      <c r="R285" s="398"/>
      <c r="S285" s="398"/>
      <c r="T285" s="398"/>
      <c r="U285" s="398"/>
      <c r="V285" s="398"/>
      <c r="W285" s="398"/>
      <c r="X285" s="398"/>
      <c r="Y285" s="398"/>
      <c r="Z285" s="398"/>
      <c r="AA285" s="398"/>
      <c r="AB285" s="398"/>
      <c r="AC285" s="398"/>
      <c r="AD285" s="398"/>
      <c r="AE285" s="398"/>
      <c r="AF285" s="398"/>
      <c r="AG285" s="398"/>
      <c r="AH285" s="398"/>
      <c r="AI285" s="398"/>
    </row>
    <row r="286" spans="1:35">
      <c r="A286" s="398"/>
      <c r="B286" s="398"/>
      <c r="C286" s="398"/>
      <c r="D286" s="398"/>
      <c r="E286" s="398"/>
      <c r="F286" s="398"/>
      <c r="G286" s="398"/>
      <c r="H286" s="398"/>
      <c r="I286" s="398"/>
      <c r="J286" s="398"/>
      <c r="K286" s="398"/>
      <c r="L286" s="398"/>
      <c r="M286" s="398"/>
      <c r="N286" s="398"/>
      <c r="O286" s="398"/>
      <c r="P286" s="398"/>
      <c r="Q286" s="398"/>
      <c r="R286" s="398"/>
      <c r="S286" s="398"/>
      <c r="T286" s="398"/>
      <c r="U286" s="398"/>
      <c r="V286" s="398"/>
      <c r="W286" s="398"/>
      <c r="X286" s="398"/>
      <c r="Y286" s="398"/>
      <c r="Z286" s="398"/>
      <c r="AA286" s="398"/>
      <c r="AB286" s="398"/>
      <c r="AC286" s="398"/>
      <c r="AD286" s="398"/>
      <c r="AE286" s="398"/>
      <c r="AF286" s="398"/>
      <c r="AG286" s="398"/>
      <c r="AH286" s="398"/>
      <c r="AI286" s="398"/>
    </row>
    <row r="287" spans="1:35">
      <c r="A287" s="398"/>
      <c r="B287" s="398"/>
      <c r="C287" s="398"/>
      <c r="D287" s="398"/>
      <c r="E287" s="398"/>
      <c r="F287" s="398"/>
      <c r="G287" s="398"/>
      <c r="H287" s="398"/>
      <c r="I287" s="398"/>
      <c r="J287" s="398"/>
      <c r="K287" s="398"/>
      <c r="L287" s="398"/>
      <c r="M287" s="398"/>
      <c r="N287" s="398"/>
      <c r="O287" s="398"/>
      <c r="P287" s="398"/>
      <c r="Q287" s="398"/>
      <c r="R287" s="398"/>
      <c r="S287" s="398"/>
      <c r="T287" s="398"/>
      <c r="U287" s="398"/>
      <c r="V287" s="398"/>
      <c r="W287" s="398"/>
      <c r="X287" s="398"/>
      <c r="Y287" s="398"/>
      <c r="Z287" s="398"/>
      <c r="AA287" s="398"/>
      <c r="AB287" s="398"/>
      <c r="AC287" s="398"/>
      <c r="AD287" s="398"/>
      <c r="AE287" s="398"/>
      <c r="AF287" s="398"/>
      <c r="AG287" s="398"/>
      <c r="AH287" s="398"/>
      <c r="AI287" s="398"/>
    </row>
    <row r="288" spans="1:35">
      <c r="A288" s="398"/>
      <c r="B288" s="398"/>
      <c r="C288" s="398"/>
      <c r="D288" s="398"/>
      <c r="E288" s="398"/>
      <c r="F288" s="398"/>
      <c r="G288" s="398"/>
      <c r="H288" s="398"/>
      <c r="I288" s="398"/>
      <c r="J288" s="398"/>
      <c r="K288" s="398"/>
      <c r="L288" s="398"/>
      <c r="M288" s="398"/>
      <c r="N288" s="398"/>
      <c r="O288" s="398"/>
      <c r="P288" s="398"/>
      <c r="Q288" s="398"/>
      <c r="R288" s="398"/>
      <c r="S288" s="398"/>
      <c r="T288" s="398"/>
      <c r="U288" s="398"/>
      <c r="V288" s="398"/>
      <c r="W288" s="398"/>
      <c r="X288" s="398"/>
      <c r="Y288" s="398"/>
      <c r="Z288" s="398"/>
      <c r="AA288" s="398"/>
      <c r="AB288" s="398"/>
      <c r="AC288" s="398"/>
      <c r="AD288" s="398"/>
      <c r="AE288" s="398"/>
      <c r="AF288" s="398"/>
      <c r="AG288" s="398"/>
      <c r="AH288" s="398"/>
      <c r="AI288" s="398"/>
    </row>
    <row r="289" spans="1:35">
      <c r="A289" s="398"/>
      <c r="B289" s="398"/>
      <c r="C289" s="398"/>
      <c r="D289" s="398"/>
      <c r="E289" s="398"/>
      <c r="F289" s="398"/>
      <c r="G289" s="398"/>
      <c r="H289" s="398"/>
      <c r="I289" s="398"/>
      <c r="J289" s="398"/>
      <c r="K289" s="398"/>
      <c r="L289" s="398"/>
      <c r="M289" s="398"/>
      <c r="N289" s="398"/>
      <c r="O289" s="398"/>
      <c r="P289" s="398"/>
      <c r="Q289" s="398"/>
      <c r="R289" s="398"/>
      <c r="S289" s="398"/>
      <c r="T289" s="398"/>
      <c r="U289" s="398"/>
      <c r="V289" s="398"/>
      <c r="W289" s="398"/>
      <c r="X289" s="398"/>
      <c r="Y289" s="398"/>
      <c r="Z289" s="398"/>
      <c r="AA289" s="398"/>
      <c r="AB289" s="398"/>
      <c r="AC289" s="398"/>
      <c r="AD289" s="398"/>
      <c r="AE289" s="398"/>
      <c r="AF289" s="398"/>
      <c r="AG289" s="398"/>
      <c r="AH289" s="398"/>
      <c r="AI289" s="398"/>
    </row>
    <row r="290" spans="1:35">
      <c r="A290" s="398"/>
      <c r="B290" s="398"/>
      <c r="C290" s="398"/>
      <c r="D290" s="398"/>
      <c r="E290" s="398"/>
      <c r="F290" s="398"/>
      <c r="G290" s="398"/>
      <c r="H290" s="398"/>
      <c r="I290" s="398"/>
      <c r="J290" s="398"/>
      <c r="K290" s="398"/>
      <c r="L290" s="398"/>
      <c r="M290" s="398"/>
      <c r="N290" s="398"/>
      <c r="O290" s="398"/>
      <c r="P290" s="398"/>
      <c r="Q290" s="398"/>
      <c r="R290" s="398"/>
      <c r="S290" s="398"/>
      <c r="T290" s="398"/>
      <c r="U290" s="398"/>
      <c r="V290" s="398"/>
      <c r="W290" s="398"/>
      <c r="X290" s="398"/>
      <c r="Y290" s="398"/>
      <c r="Z290" s="398"/>
      <c r="AA290" s="398"/>
      <c r="AB290" s="398"/>
      <c r="AC290" s="398"/>
      <c r="AD290" s="398"/>
      <c r="AE290" s="398"/>
      <c r="AF290" s="398"/>
      <c r="AG290" s="398"/>
      <c r="AH290" s="398"/>
      <c r="AI290" s="398"/>
    </row>
    <row r="291" spans="1:35">
      <c r="A291" s="398"/>
      <c r="B291" s="398"/>
      <c r="C291" s="398"/>
      <c r="D291" s="398"/>
      <c r="E291" s="398"/>
      <c r="F291" s="398"/>
      <c r="G291" s="398"/>
      <c r="H291" s="398"/>
      <c r="I291" s="398"/>
      <c r="J291" s="398"/>
      <c r="K291" s="398"/>
      <c r="L291" s="398"/>
      <c r="M291" s="398"/>
      <c r="N291" s="398"/>
      <c r="O291" s="398"/>
      <c r="P291" s="398"/>
      <c r="Q291" s="398"/>
      <c r="R291" s="398"/>
      <c r="S291" s="398"/>
      <c r="T291" s="398"/>
      <c r="U291" s="398"/>
      <c r="V291" s="398"/>
      <c r="W291" s="398"/>
      <c r="X291" s="398"/>
      <c r="Y291" s="398"/>
      <c r="Z291" s="398"/>
      <c r="AA291" s="398"/>
      <c r="AB291" s="398"/>
      <c r="AC291" s="398"/>
      <c r="AD291" s="398"/>
      <c r="AE291" s="398"/>
      <c r="AF291" s="398"/>
      <c r="AG291" s="398"/>
      <c r="AH291" s="398"/>
      <c r="AI291" s="398"/>
    </row>
    <row r="292" spans="1:35">
      <c r="A292" s="398"/>
      <c r="B292" s="398"/>
      <c r="C292" s="398"/>
      <c r="D292" s="398"/>
      <c r="E292" s="398"/>
      <c r="F292" s="398"/>
      <c r="G292" s="398"/>
      <c r="H292" s="398"/>
      <c r="I292" s="398"/>
      <c r="J292" s="398"/>
      <c r="K292" s="398"/>
      <c r="L292" s="398"/>
      <c r="M292" s="398"/>
      <c r="N292" s="398"/>
      <c r="O292" s="398"/>
      <c r="P292" s="398"/>
      <c r="Q292" s="398"/>
      <c r="R292" s="398"/>
      <c r="S292" s="398"/>
      <c r="T292" s="398"/>
      <c r="U292" s="398"/>
      <c r="V292" s="398"/>
      <c r="W292" s="398"/>
      <c r="X292" s="398"/>
      <c r="Y292" s="398"/>
      <c r="Z292" s="398"/>
      <c r="AA292" s="398"/>
      <c r="AB292" s="398"/>
      <c r="AC292" s="398"/>
      <c r="AD292" s="398"/>
      <c r="AE292" s="398"/>
      <c r="AF292" s="398"/>
      <c r="AG292" s="398"/>
      <c r="AH292" s="398"/>
      <c r="AI292" s="398"/>
    </row>
    <row r="293" spans="1:35">
      <c r="A293" s="398"/>
      <c r="B293" s="398"/>
      <c r="C293" s="398"/>
      <c r="D293" s="398"/>
      <c r="E293" s="398"/>
      <c r="F293" s="398"/>
      <c r="G293" s="398"/>
      <c r="H293" s="398"/>
      <c r="I293" s="398"/>
      <c r="J293" s="398"/>
      <c r="K293" s="398"/>
      <c r="L293" s="398"/>
      <c r="M293" s="398"/>
      <c r="N293" s="398"/>
      <c r="O293" s="398"/>
      <c r="P293" s="398"/>
      <c r="Q293" s="398"/>
      <c r="R293" s="398"/>
      <c r="S293" s="398"/>
      <c r="T293" s="398"/>
      <c r="U293" s="398"/>
      <c r="V293" s="398"/>
      <c r="W293" s="398"/>
      <c r="X293" s="398"/>
      <c r="Y293" s="398"/>
      <c r="Z293" s="398"/>
      <c r="AA293" s="398"/>
      <c r="AB293" s="398"/>
      <c r="AC293" s="398"/>
      <c r="AD293" s="398"/>
      <c r="AE293" s="398"/>
      <c r="AF293" s="398"/>
      <c r="AG293" s="398"/>
      <c r="AH293" s="398"/>
      <c r="AI293" s="398"/>
    </row>
    <row r="294" spans="1:35">
      <c r="A294" s="398"/>
      <c r="B294" s="398"/>
      <c r="C294" s="398"/>
      <c r="D294" s="398"/>
      <c r="E294" s="398"/>
      <c r="F294" s="398"/>
      <c r="G294" s="398"/>
      <c r="H294" s="398"/>
      <c r="I294" s="398"/>
      <c r="J294" s="398"/>
      <c r="K294" s="398"/>
      <c r="L294" s="398"/>
      <c r="M294" s="398"/>
      <c r="N294" s="398"/>
      <c r="O294" s="398"/>
      <c r="P294" s="398"/>
      <c r="Q294" s="398"/>
      <c r="R294" s="398"/>
      <c r="S294" s="398"/>
      <c r="T294" s="398"/>
      <c r="U294" s="398"/>
      <c r="V294" s="398"/>
      <c r="W294" s="398"/>
      <c r="X294" s="398"/>
      <c r="Y294" s="398"/>
      <c r="Z294" s="398"/>
      <c r="AA294" s="398"/>
      <c r="AB294" s="398"/>
      <c r="AC294" s="398"/>
      <c r="AD294" s="398"/>
      <c r="AE294" s="398"/>
      <c r="AF294" s="398"/>
      <c r="AG294" s="398"/>
      <c r="AH294" s="398"/>
      <c r="AI294" s="398"/>
    </row>
    <row r="295" spans="1:35">
      <c r="A295" s="398"/>
      <c r="B295" s="398"/>
      <c r="C295" s="398"/>
      <c r="D295" s="398"/>
      <c r="E295" s="398"/>
      <c r="F295" s="398"/>
      <c r="G295" s="398"/>
      <c r="H295" s="398"/>
      <c r="I295" s="398"/>
      <c r="J295" s="398"/>
      <c r="K295" s="398"/>
      <c r="L295" s="398"/>
      <c r="M295" s="398"/>
      <c r="N295" s="398"/>
      <c r="O295" s="398"/>
      <c r="P295" s="398"/>
      <c r="Q295" s="398"/>
      <c r="R295" s="398"/>
      <c r="S295" s="398"/>
      <c r="T295" s="398"/>
      <c r="U295" s="398"/>
      <c r="V295" s="398"/>
      <c r="W295" s="398"/>
      <c r="X295" s="398"/>
      <c r="Y295" s="398"/>
      <c r="Z295" s="398"/>
      <c r="AA295" s="398"/>
      <c r="AB295" s="398"/>
      <c r="AC295" s="398"/>
      <c r="AD295" s="398"/>
      <c r="AE295" s="398"/>
      <c r="AF295" s="398"/>
      <c r="AG295" s="398"/>
      <c r="AH295" s="398"/>
      <c r="AI295" s="398"/>
    </row>
    <row r="296" spans="1:35">
      <c r="A296" s="398"/>
      <c r="B296" s="398"/>
      <c r="C296" s="398"/>
      <c r="D296" s="398"/>
      <c r="E296" s="398"/>
      <c r="F296" s="398"/>
      <c r="G296" s="398"/>
      <c r="H296" s="398"/>
      <c r="I296" s="398"/>
      <c r="J296" s="398"/>
      <c r="K296" s="398"/>
      <c r="L296" s="398"/>
      <c r="M296" s="398"/>
      <c r="N296" s="398"/>
      <c r="O296" s="398"/>
      <c r="P296" s="398"/>
      <c r="Q296" s="398"/>
      <c r="R296" s="398"/>
      <c r="S296" s="398"/>
      <c r="T296" s="398"/>
      <c r="U296" s="398"/>
      <c r="V296" s="398"/>
      <c r="W296" s="398"/>
      <c r="X296" s="398"/>
      <c r="Y296" s="398"/>
      <c r="Z296" s="398"/>
      <c r="AA296" s="398"/>
      <c r="AB296" s="398"/>
      <c r="AC296" s="398"/>
      <c r="AD296" s="398"/>
      <c r="AE296" s="398"/>
      <c r="AF296" s="398"/>
      <c r="AG296" s="398"/>
      <c r="AH296" s="398"/>
      <c r="AI296" s="398"/>
    </row>
    <row r="297" spans="1:35">
      <c r="A297" s="398"/>
      <c r="B297" s="398"/>
      <c r="C297" s="398"/>
      <c r="D297" s="398"/>
      <c r="E297" s="398"/>
      <c r="F297" s="398"/>
      <c r="G297" s="398"/>
      <c r="H297" s="398"/>
      <c r="I297" s="398"/>
      <c r="J297" s="398"/>
      <c r="K297" s="398"/>
      <c r="L297" s="398"/>
      <c r="M297" s="398"/>
      <c r="N297" s="398"/>
      <c r="O297" s="398"/>
      <c r="P297" s="398"/>
      <c r="Q297" s="398"/>
      <c r="R297" s="398"/>
      <c r="S297" s="398"/>
      <c r="T297" s="398"/>
      <c r="U297" s="398"/>
      <c r="V297" s="398"/>
      <c r="W297" s="398"/>
      <c r="X297" s="398"/>
      <c r="Y297" s="398"/>
      <c r="Z297" s="398"/>
      <c r="AA297" s="398"/>
      <c r="AB297" s="398"/>
      <c r="AC297" s="398"/>
      <c r="AD297" s="398"/>
      <c r="AE297" s="398"/>
      <c r="AF297" s="398"/>
      <c r="AG297" s="398"/>
      <c r="AH297" s="398"/>
      <c r="AI297" s="398"/>
    </row>
    <row r="298" spans="1:35">
      <c r="A298" s="398"/>
      <c r="B298" s="398"/>
      <c r="C298" s="398"/>
      <c r="D298" s="398"/>
      <c r="E298" s="398"/>
      <c r="F298" s="398"/>
      <c r="G298" s="398"/>
      <c r="H298" s="398"/>
      <c r="I298" s="398"/>
      <c r="J298" s="398"/>
      <c r="K298" s="398"/>
      <c r="L298" s="398"/>
      <c r="M298" s="398"/>
      <c r="N298" s="398"/>
      <c r="O298" s="398"/>
      <c r="P298" s="398"/>
      <c r="Q298" s="398"/>
      <c r="R298" s="398"/>
      <c r="S298" s="398"/>
      <c r="T298" s="398"/>
      <c r="U298" s="398"/>
      <c r="V298" s="398"/>
      <c r="W298" s="398"/>
      <c r="X298" s="398"/>
      <c r="Y298" s="398"/>
      <c r="Z298" s="398"/>
      <c r="AA298" s="398"/>
      <c r="AB298" s="398"/>
      <c r="AC298" s="398"/>
      <c r="AD298" s="398"/>
      <c r="AE298" s="398"/>
      <c r="AF298" s="398"/>
      <c r="AG298" s="398"/>
      <c r="AH298" s="398"/>
      <c r="AI298" s="398"/>
    </row>
    <row r="299" spans="1:35">
      <c r="A299" s="398"/>
      <c r="B299" s="398"/>
      <c r="C299" s="398"/>
      <c r="D299" s="398"/>
      <c r="E299" s="398"/>
      <c r="F299" s="398"/>
      <c r="G299" s="398"/>
      <c r="H299" s="398"/>
      <c r="I299" s="398"/>
      <c r="J299" s="398"/>
      <c r="K299" s="398"/>
      <c r="L299" s="398"/>
      <c r="M299" s="398"/>
      <c r="N299" s="398"/>
      <c r="O299" s="398"/>
      <c r="P299" s="398"/>
      <c r="Q299" s="398"/>
      <c r="R299" s="398"/>
      <c r="S299" s="398"/>
      <c r="T299" s="398"/>
      <c r="U299" s="398"/>
      <c r="V299" s="398"/>
      <c r="W299" s="398"/>
      <c r="X299" s="398"/>
      <c r="Y299" s="398"/>
      <c r="Z299" s="398"/>
      <c r="AA299" s="398"/>
      <c r="AB299" s="398"/>
      <c r="AC299" s="398"/>
      <c r="AD299" s="398"/>
      <c r="AE299" s="398"/>
      <c r="AF299" s="398"/>
      <c r="AG299" s="398"/>
      <c r="AH299" s="398"/>
      <c r="AI299" s="398"/>
    </row>
    <row r="300" spans="1:35">
      <c r="A300" s="398"/>
      <c r="B300" s="398"/>
      <c r="C300" s="398"/>
      <c r="D300" s="398"/>
      <c r="E300" s="398"/>
      <c r="F300" s="398"/>
      <c r="G300" s="398"/>
      <c r="H300" s="398"/>
      <c r="I300" s="398"/>
      <c r="J300" s="398"/>
      <c r="K300" s="398"/>
      <c r="L300" s="398"/>
      <c r="M300" s="398"/>
      <c r="N300" s="398"/>
      <c r="O300" s="398"/>
      <c r="P300" s="398"/>
      <c r="Q300" s="398"/>
      <c r="R300" s="398"/>
      <c r="S300" s="398"/>
      <c r="T300" s="398"/>
      <c r="U300" s="398"/>
      <c r="V300" s="398"/>
      <c r="W300" s="398"/>
      <c r="X300" s="398"/>
      <c r="Y300" s="398"/>
      <c r="Z300" s="398"/>
      <c r="AA300" s="398"/>
      <c r="AB300" s="398"/>
      <c r="AC300" s="398"/>
      <c r="AD300" s="398"/>
      <c r="AE300" s="398"/>
      <c r="AF300" s="398"/>
      <c r="AG300" s="398"/>
      <c r="AH300" s="398"/>
      <c r="AI300" s="398"/>
    </row>
    <row r="301" spans="1:35">
      <c r="A301" s="398"/>
      <c r="B301" s="398"/>
      <c r="C301" s="398"/>
      <c r="D301" s="398"/>
      <c r="E301" s="398"/>
      <c r="F301" s="398"/>
      <c r="G301" s="398"/>
      <c r="H301" s="398"/>
      <c r="I301" s="398"/>
      <c r="J301" s="398"/>
      <c r="K301" s="398"/>
      <c r="L301" s="398"/>
      <c r="M301" s="398"/>
      <c r="N301" s="398"/>
      <c r="O301" s="398"/>
      <c r="P301" s="398"/>
      <c r="Q301" s="398"/>
      <c r="R301" s="398"/>
      <c r="S301" s="398"/>
      <c r="T301" s="398"/>
      <c r="U301" s="398"/>
      <c r="V301" s="398"/>
      <c r="W301" s="398"/>
      <c r="X301" s="398"/>
      <c r="Y301" s="398"/>
      <c r="Z301" s="398"/>
      <c r="AA301" s="398"/>
      <c r="AB301" s="398"/>
      <c r="AC301" s="398"/>
      <c r="AD301" s="398"/>
      <c r="AE301" s="398"/>
      <c r="AF301" s="398"/>
      <c r="AG301" s="398"/>
      <c r="AH301" s="398"/>
      <c r="AI301" s="398"/>
    </row>
    <row r="302" spans="1:35">
      <c r="A302" s="398"/>
      <c r="B302" s="398"/>
      <c r="C302" s="398"/>
      <c r="D302" s="398"/>
      <c r="E302" s="398"/>
      <c r="F302" s="398"/>
      <c r="G302" s="398"/>
      <c r="H302" s="398"/>
      <c r="I302" s="398"/>
      <c r="J302" s="398"/>
      <c r="K302" s="398"/>
      <c r="L302" s="398"/>
      <c r="M302" s="398"/>
      <c r="N302" s="398"/>
      <c r="O302" s="398"/>
      <c r="P302" s="398"/>
      <c r="Q302" s="398"/>
      <c r="R302" s="398"/>
      <c r="S302" s="398"/>
      <c r="T302" s="398"/>
      <c r="U302" s="398"/>
      <c r="V302" s="398"/>
      <c r="W302" s="398"/>
      <c r="X302" s="398"/>
      <c r="Y302" s="398"/>
      <c r="Z302" s="398"/>
      <c r="AA302" s="398"/>
      <c r="AB302" s="398"/>
      <c r="AC302" s="398"/>
      <c r="AD302" s="398"/>
      <c r="AE302" s="398"/>
      <c r="AF302" s="398"/>
      <c r="AG302" s="398"/>
      <c r="AH302" s="398"/>
      <c r="AI302" s="398"/>
    </row>
    <row r="303" spans="1:35">
      <c r="A303" s="398"/>
      <c r="B303" s="398"/>
      <c r="C303" s="398"/>
      <c r="D303" s="398"/>
      <c r="E303" s="398"/>
      <c r="F303" s="398"/>
      <c r="G303" s="398"/>
      <c r="H303" s="398"/>
      <c r="I303" s="398"/>
      <c r="J303" s="398"/>
      <c r="K303" s="398"/>
      <c r="L303" s="398"/>
      <c r="M303" s="398"/>
      <c r="N303" s="398"/>
      <c r="O303" s="398"/>
      <c r="P303" s="398"/>
      <c r="Q303" s="398"/>
      <c r="R303" s="398"/>
      <c r="S303" s="398"/>
      <c r="T303" s="398"/>
      <c r="U303" s="398"/>
      <c r="V303" s="398"/>
      <c r="W303" s="398"/>
      <c r="X303" s="398"/>
      <c r="Y303" s="398"/>
      <c r="Z303" s="398"/>
      <c r="AA303" s="398"/>
      <c r="AB303" s="398"/>
      <c r="AC303" s="398"/>
      <c r="AD303" s="398"/>
      <c r="AE303" s="398"/>
      <c r="AF303" s="398"/>
      <c r="AG303" s="398"/>
      <c r="AH303" s="398"/>
      <c r="AI303" s="398"/>
    </row>
    <row r="304" spans="1:35">
      <c r="A304" s="398"/>
      <c r="B304" s="398"/>
      <c r="C304" s="398"/>
      <c r="D304" s="398"/>
      <c r="E304" s="398"/>
      <c r="F304" s="398"/>
      <c r="G304" s="398"/>
      <c r="H304" s="398"/>
      <c r="I304" s="398"/>
      <c r="J304" s="398"/>
      <c r="K304" s="398"/>
      <c r="L304" s="398"/>
      <c r="M304" s="398"/>
      <c r="N304" s="398"/>
      <c r="O304" s="398"/>
      <c r="P304" s="398"/>
      <c r="Q304" s="398"/>
      <c r="R304" s="398"/>
      <c r="S304" s="398"/>
      <c r="T304" s="398"/>
      <c r="U304" s="398"/>
      <c r="V304" s="398"/>
      <c r="W304" s="398"/>
      <c r="X304" s="398"/>
      <c r="Y304" s="398"/>
      <c r="Z304" s="398"/>
      <c r="AA304" s="398"/>
      <c r="AB304" s="398"/>
      <c r="AC304" s="398"/>
      <c r="AD304" s="398"/>
      <c r="AE304" s="398"/>
      <c r="AF304" s="398"/>
      <c r="AG304" s="398"/>
      <c r="AH304" s="398"/>
      <c r="AI304" s="398"/>
    </row>
    <row r="305" spans="1:35">
      <c r="A305" s="398"/>
      <c r="B305" s="398"/>
      <c r="C305" s="398"/>
      <c r="D305" s="398"/>
      <c r="E305" s="398"/>
      <c r="F305" s="398"/>
      <c r="G305" s="398"/>
      <c r="H305" s="398"/>
      <c r="I305" s="398"/>
      <c r="J305" s="398"/>
      <c r="K305" s="398"/>
      <c r="L305" s="398"/>
      <c r="M305" s="398"/>
      <c r="N305" s="398"/>
      <c r="O305" s="398"/>
      <c r="P305" s="398"/>
      <c r="Q305" s="398"/>
      <c r="R305" s="398"/>
      <c r="S305" s="398"/>
      <c r="T305" s="398"/>
      <c r="U305" s="398"/>
      <c r="V305" s="398"/>
      <c r="W305" s="398"/>
      <c r="X305" s="398"/>
      <c r="Y305" s="398"/>
      <c r="Z305" s="398"/>
      <c r="AA305" s="398"/>
      <c r="AB305" s="398"/>
      <c r="AC305" s="398"/>
      <c r="AD305" s="398"/>
      <c r="AE305" s="398"/>
      <c r="AF305" s="398"/>
      <c r="AG305" s="398"/>
      <c r="AH305" s="398"/>
      <c r="AI305" s="398"/>
    </row>
    <row r="306" spans="1:35">
      <c r="A306" s="398"/>
      <c r="B306" s="398"/>
      <c r="C306" s="398"/>
      <c r="D306" s="398"/>
      <c r="E306" s="398"/>
      <c r="F306" s="398"/>
      <c r="G306" s="398"/>
      <c r="H306" s="398"/>
      <c r="I306" s="398"/>
      <c r="J306" s="398"/>
      <c r="K306" s="398"/>
      <c r="L306" s="398"/>
      <c r="M306" s="398"/>
      <c r="N306" s="398"/>
      <c r="O306" s="398"/>
      <c r="P306" s="398"/>
      <c r="Q306" s="398"/>
      <c r="R306" s="398"/>
      <c r="S306" s="398"/>
      <c r="T306" s="398"/>
      <c r="U306" s="398"/>
      <c r="V306" s="398"/>
      <c r="W306" s="398"/>
      <c r="X306" s="398"/>
      <c r="Y306" s="398"/>
      <c r="Z306" s="398"/>
      <c r="AA306" s="398"/>
      <c r="AB306" s="398"/>
      <c r="AC306" s="398"/>
      <c r="AD306" s="398"/>
      <c r="AE306" s="398"/>
      <c r="AF306" s="398"/>
      <c r="AG306" s="398"/>
      <c r="AH306" s="398"/>
      <c r="AI306" s="398"/>
    </row>
    <row r="307" spans="1:35">
      <c r="A307" s="398"/>
      <c r="B307" s="398"/>
      <c r="C307" s="398"/>
      <c r="D307" s="398"/>
      <c r="E307" s="398"/>
      <c r="F307" s="398"/>
      <c r="G307" s="398"/>
      <c r="H307" s="398"/>
      <c r="I307" s="398"/>
      <c r="J307" s="398"/>
      <c r="K307" s="398"/>
      <c r="L307" s="398"/>
      <c r="M307" s="398"/>
      <c r="N307" s="398"/>
      <c r="O307" s="398"/>
      <c r="P307" s="398"/>
      <c r="Q307" s="398"/>
      <c r="R307" s="398"/>
      <c r="S307" s="398"/>
      <c r="T307" s="398"/>
      <c r="U307" s="398"/>
      <c r="V307" s="398"/>
      <c r="W307" s="398"/>
      <c r="X307" s="398"/>
      <c r="Y307" s="398"/>
      <c r="Z307" s="398"/>
      <c r="AA307" s="398"/>
      <c r="AB307" s="398"/>
      <c r="AC307" s="398"/>
      <c r="AD307" s="398"/>
      <c r="AE307" s="398"/>
      <c r="AF307" s="398"/>
      <c r="AG307" s="398"/>
      <c r="AH307" s="398"/>
      <c r="AI307" s="398"/>
    </row>
    <row r="308" spans="1:35">
      <c r="A308" s="398"/>
      <c r="B308" s="398"/>
      <c r="C308" s="398"/>
      <c r="D308" s="398"/>
      <c r="E308" s="398"/>
      <c r="F308" s="398"/>
      <c r="G308" s="398"/>
      <c r="H308" s="398"/>
      <c r="I308" s="398"/>
      <c r="J308" s="398"/>
      <c r="K308" s="398"/>
      <c r="L308" s="398"/>
      <c r="M308" s="398"/>
      <c r="N308" s="398"/>
      <c r="O308" s="398"/>
      <c r="P308" s="398"/>
      <c r="Q308" s="398"/>
      <c r="R308" s="398"/>
      <c r="S308" s="398"/>
      <c r="T308" s="398"/>
      <c r="U308" s="398"/>
      <c r="V308" s="398"/>
      <c r="W308" s="398"/>
      <c r="X308" s="398"/>
      <c r="Y308" s="398"/>
      <c r="Z308" s="398"/>
      <c r="AA308" s="398"/>
      <c r="AB308" s="398"/>
      <c r="AC308" s="398"/>
      <c r="AD308" s="398"/>
      <c r="AE308" s="398"/>
      <c r="AF308" s="398"/>
      <c r="AG308" s="398"/>
      <c r="AH308" s="398"/>
      <c r="AI308" s="398"/>
    </row>
    <row r="309" spans="1:35">
      <c r="A309" s="398"/>
      <c r="B309" s="398"/>
      <c r="C309" s="398"/>
      <c r="D309" s="398"/>
      <c r="E309" s="398"/>
      <c r="F309" s="398"/>
      <c r="G309" s="398"/>
      <c r="H309" s="398"/>
      <c r="I309" s="398"/>
      <c r="J309" s="398"/>
      <c r="K309" s="398"/>
      <c r="L309" s="398"/>
      <c r="M309" s="398"/>
      <c r="N309" s="398"/>
      <c r="O309" s="398"/>
      <c r="P309" s="398"/>
      <c r="Q309" s="398"/>
      <c r="R309" s="398"/>
      <c r="S309" s="398"/>
      <c r="T309" s="398"/>
      <c r="U309" s="398"/>
      <c r="V309" s="398"/>
      <c r="W309" s="398"/>
      <c r="X309" s="398"/>
      <c r="Y309" s="398"/>
      <c r="Z309" s="398"/>
      <c r="AA309" s="398"/>
      <c r="AB309" s="398"/>
      <c r="AC309" s="398"/>
      <c r="AD309" s="398"/>
      <c r="AE309" s="398"/>
      <c r="AF309" s="398"/>
      <c r="AG309" s="398"/>
      <c r="AH309" s="398"/>
      <c r="AI309" s="398"/>
    </row>
    <row r="310" spans="1:35">
      <c r="A310" s="398"/>
      <c r="B310" s="398"/>
      <c r="C310" s="398"/>
      <c r="D310" s="398"/>
      <c r="E310" s="398"/>
      <c r="F310" s="398"/>
      <c r="G310" s="398"/>
      <c r="H310" s="398"/>
      <c r="I310" s="398"/>
      <c r="J310" s="398"/>
      <c r="K310" s="398"/>
      <c r="L310" s="398"/>
      <c r="M310" s="398"/>
      <c r="N310" s="398"/>
      <c r="O310" s="398"/>
      <c r="P310" s="398"/>
      <c r="Q310" s="398"/>
      <c r="R310" s="398"/>
      <c r="S310" s="398"/>
      <c r="T310" s="398"/>
      <c r="U310" s="398"/>
      <c r="V310" s="398"/>
      <c r="W310" s="398"/>
      <c r="X310" s="398"/>
      <c r="Y310" s="398"/>
      <c r="Z310" s="398"/>
      <c r="AA310" s="398"/>
      <c r="AB310" s="398"/>
      <c r="AC310" s="398"/>
      <c r="AD310" s="398"/>
      <c r="AE310" s="398"/>
      <c r="AF310" s="398"/>
      <c r="AG310" s="398"/>
      <c r="AH310" s="398"/>
      <c r="AI310" s="398"/>
    </row>
    <row r="311" spans="1:35">
      <c r="A311" s="398"/>
      <c r="B311" s="398"/>
      <c r="C311" s="398"/>
      <c r="D311" s="398"/>
      <c r="E311" s="398"/>
      <c r="F311" s="398"/>
      <c r="G311" s="398"/>
      <c r="H311" s="398"/>
      <c r="I311" s="398"/>
      <c r="J311" s="398"/>
      <c r="K311" s="398"/>
      <c r="L311" s="398"/>
      <c r="M311" s="398"/>
      <c r="N311" s="398"/>
      <c r="O311" s="398"/>
      <c r="P311" s="398"/>
      <c r="Q311" s="398"/>
      <c r="R311" s="398"/>
      <c r="S311" s="398"/>
      <c r="T311" s="398"/>
      <c r="U311" s="398"/>
      <c r="V311" s="398"/>
      <c r="W311" s="398"/>
      <c r="X311" s="398"/>
      <c r="Y311" s="398"/>
      <c r="Z311" s="398"/>
      <c r="AA311" s="398"/>
      <c r="AB311" s="398"/>
      <c r="AC311" s="398"/>
      <c r="AD311" s="398"/>
      <c r="AE311" s="398"/>
      <c r="AF311" s="398"/>
      <c r="AG311" s="398"/>
      <c r="AH311" s="398"/>
      <c r="AI311" s="398"/>
    </row>
    <row r="312" spans="1:35">
      <c r="A312" s="398"/>
      <c r="B312" s="398"/>
      <c r="C312" s="398"/>
      <c r="D312" s="398"/>
      <c r="E312" s="398"/>
      <c r="F312" s="398"/>
      <c r="G312" s="398"/>
      <c r="H312" s="398"/>
      <c r="I312" s="398"/>
      <c r="J312" s="398"/>
      <c r="K312" s="398"/>
      <c r="L312" s="398"/>
      <c r="M312" s="398"/>
      <c r="N312" s="398"/>
      <c r="O312" s="398"/>
      <c r="P312" s="398"/>
      <c r="Q312" s="398"/>
      <c r="R312" s="398"/>
      <c r="S312" s="398"/>
      <c r="T312" s="398"/>
      <c r="U312" s="398"/>
      <c r="V312" s="398"/>
      <c r="W312" s="398"/>
      <c r="X312" s="398"/>
      <c r="Y312" s="398"/>
      <c r="Z312" s="398"/>
      <c r="AA312" s="398"/>
      <c r="AB312" s="398"/>
      <c r="AC312" s="398"/>
      <c r="AD312" s="398"/>
      <c r="AE312" s="398"/>
      <c r="AF312" s="398"/>
      <c r="AG312" s="398"/>
      <c r="AH312" s="398"/>
      <c r="AI312" s="398"/>
    </row>
    <row r="313" spans="1:35">
      <c r="A313" s="398"/>
      <c r="B313" s="398"/>
      <c r="C313" s="398"/>
      <c r="D313" s="398"/>
      <c r="E313" s="398"/>
      <c r="F313" s="398"/>
      <c r="G313" s="398"/>
      <c r="H313" s="398"/>
      <c r="I313" s="398"/>
      <c r="J313" s="398"/>
      <c r="K313" s="398"/>
      <c r="L313" s="398"/>
      <c r="M313" s="398"/>
      <c r="N313" s="398"/>
      <c r="O313" s="398"/>
      <c r="P313" s="398"/>
      <c r="Q313" s="398"/>
      <c r="R313" s="398"/>
      <c r="S313" s="398"/>
      <c r="T313" s="398"/>
      <c r="U313" s="398"/>
      <c r="V313" s="398"/>
      <c r="W313" s="398"/>
      <c r="X313" s="398"/>
      <c r="Y313" s="398"/>
      <c r="Z313" s="398"/>
      <c r="AA313" s="398"/>
      <c r="AB313" s="398"/>
      <c r="AC313" s="398"/>
      <c r="AD313" s="398"/>
      <c r="AE313" s="398"/>
      <c r="AF313" s="398"/>
      <c r="AG313" s="398"/>
      <c r="AH313" s="398"/>
      <c r="AI313" s="398"/>
    </row>
    <row r="314" spans="1:35">
      <c r="A314" s="398"/>
      <c r="B314" s="398"/>
      <c r="C314" s="398"/>
      <c r="D314" s="398"/>
      <c r="E314" s="398"/>
      <c r="F314" s="398"/>
      <c r="G314" s="398"/>
      <c r="H314" s="398"/>
      <c r="I314" s="398"/>
      <c r="J314" s="398"/>
      <c r="K314" s="398"/>
      <c r="L314" s="398"/>
      <c r="M314" s="398"/>
      <c r="N314" s="398"/>
      <c r="O314" s="398"/>
      <c r="P314" s="398"/>
      <c r="Q314" s="398"/>
      <c r="R314" s="398"/>
      <c r="S314" s="398"/>
      <c r="T314" s="398"/>
      <c r="U314" s="398"/>
      <c r="V314" s="398"/>
      <c r="W314" s="398"/>
      <c r="X314" s="398"/>
      <c r="Y314" s="398"/>
      <c r="Z314" s="398"/>
      <c r="AA314" s="398"/>
      <c r="AB314" s="398"/>
      <c r="AC314" s="398"/>
      <c r="AD314" s="398"/>
      <c r="AE314" s="398"/>
      <c r="AF314" s="398"/>
      <c r="AG314" s="398"/>
      <c r="AH314" s="398"/>
      <c r="AI314" s="398"/>
    </row>
    <row r="315" spans="1:35">
      <c r="A315" s="398"/>
      <c r="B315" s="398"/>
      <c r="C315" s="398"/>
      <c r="D315" s="398"/>
      <c r="E315" s="398"/>
      <c r="F315" s="398"/>
      <c r="G315" s="398"/>
      <c r="H315" s="398"/>
      <c r="I315" s="398"/>
      <c r="J315" s="398"/>
      <c r="K315" s="398"/>
      <c r="L315" s="398"/>
      <c r="M315" s="398"/>
      <c r="N315" s="398"/>
      <c r="O315" s="398"/>
      <c r="P315" s="398"/>
      <c r="Q315" s="398"/>
      <c r="R315" s="398"/>
      <c r="S315" s="398"/>
      <c r="T315" s="398"/>
      <c r="U315" s="398"/>
      <c r="V315" s="398"/>
      <c r="W315" s="398"/>
      <c r="X315" s="398"/>
      <c r="Y315" s="398"/>
      <c r="Z315" s="398"/>
      <c r="AA315" s="398"/>
      <c r="AB315" s="398"/>
      <c r="AC315" s="398"/>
      <c r="AD315" s="398"/>
      <c r="AE315" s="398"/>
      <c r="AF315" s="398"/>
      <c r="AG315" s="398"/>
      <c r="AH315" s="398"/>
      <c r="AI315" s="398"/>
    </row>
    <row r="316" spans="1:35">
      <c r="A316" s="398"/>
      <c r="B316" s="398"/>
      <c r="C316" s="398"/>
      <c r="D316" s="398"/>
      <c r="E316" s="398"/>
      <c r="F316" s="398"/>
      <c r="G316" s="398"/>
      <c r="H316" s="398"/>
      <c r="I316" s="398"/>
      <c r="J316" s="398"/>
      <c r="K316" s="398"/>
      <c r="L316" s="398"/>
      <c r="M316" s="398"/>
      <c r="N316" s="398"/>
      <c r="O316" s="398"/>
      <c r="P316" s="398"/>
      <c r="Q316" s="398"/>
      <c r="R316" s="398"/>
      <c r="S316" s="398"/>
      <c r="T316" s="398"/>
      <c r="U316" s="398"/>
      <c r="V316" s="398"/>
      <c r="W316" s="398"/>
      <c r="X316" s="398"/>
      <c r="Y316" s="398"/>
      <c r="Z316" s="398"/>
      <c r="AA316" s="398"/>
      <c r="AB316" s="398"/>
      <c r="AC316" s="398"/>
      <c r="AD316" s="398"/>
      <c r="AE316" s="398"/>
      <c r="AF316" s="398"/>
      <c r="AG316" s="398"/>
      <c r="AH316" s="398"/>
      <c r="AI316" s="398"/>
    </row>
    <row r="317" spans="1:35">
      <c r="A317" s="398"/>
      <c r="B317" s="398"/>
      <c r="C317" s="398"/>
      <c r="D317" s="398"/>
      <c r="E317" s="398"/>
      <c r="F317" s="398"/>
      <c r="G317" s="398"/>
      <c r="H317" s="398"/>
      <c r="I317" s="398"/>
      <c r="J317" s="398"/>
      <c r="K317" s="398"/>
      <c r="L317" s="398"/>
      <c r="M317" s="398"/>
      <c r="N317" s="398"/>
      <c r="O317" s="398"/>
      <c r="P317" s="398"/>
      <c r="Q317" s="398"/>
      <c r="R317" s="398"/>
      <c r="S317" s="398"/>
      <c r="T317" s="398"/>
      <c r="U317" s="398"/>
      <c r="V317" s="398"/>
      <c r="W317" s="398"/>
      <c r="X317" s="398"/>
      <c r="Y317" s="398"/>
      <c r="Z317" s="398"/>
      <c r="AA317" s="398"/>
      <c r="AB317" s="398"/>
      <c r="AC317" s="398"/>
      <c r="AD317" s="398"/>
      <c r="AE317" s="398"/>
      <c r="AF317" s="398"/>
      <c r="AG317" s="398"/>
      <c r="AH317" s="398"/>
      <c r="AI317" s="398"/>
    </row>
    <row r="318" spans="1:35">
      <c r="A318" s="398"/>
      <c r="B318" s="398"/>
      <c r="C318" s="398"/>
      <c r="D318" s="398"/>
      <c r="E318" s="398"/>
      <c r="F318" s="398"/>
      <c r="G318" s="398"/>
      <c r="H318" s="398"/>
      <c r="I318" s="398"/>
      <c r="J318" s="398"/>
      <c r="K318" s="398"/>
      <c r="L318" s="398"/>
      <c r="M318" s="398"/>
      <c r="N318" s="398"/>
      <c r="O318" s="398"/>
      <c r="P318" s="398"/>
      <c r="Q318" s="398"/>
      <c r="R318" s="398"/>
      <c r="S318" s="398"/>
      <c r="T318" s="398"/>
      <c r="U318" s="398"/>
      <c r="V318" s="398"/>
      <c r="W318" s="398"/>
      <c r="X318" s="398"/>
      <c r="Y318" s="398"/>
      <c r="Z318" s="398"/>
      <c r="AA318" s="398"/>
      <c r="AB318" s="398"/>
      <c r="AC318" s="398"/>
      <c r="AD318" s="398"/>
      <c r="AE318" s="398"/>
      <c r="AF318" s="398"/>
      <c r="AG318" s="398"/>
      <c r="AH318" s="398"/>
      <c r="AI318" s="398"/>
    </row>
    <row r="319" spans="1:35">
      <c r="A319" s="398"/>
      <c r="B319" s="398"/>
      <c r="C319" s="398"/>
      <c r="D319" s="398"/>
      <c r="E319" s="398"/>
      <c r="F319" s="398"/>
      <c r="G319" s="398"/>
      <c r="H319" s="398"/>
      <c r="I319" s="398"/>
      <c r="J319" s="398"/>
      <c r="K319" s="398"/>
      <c r="L319" s="398"/>
      <c r="M319" s="398"/>
      <c r="N319" s="398"/>
      <c r="O319" s="398"/>
      <c r="P319" s="398"/>
      <c r="Q319" s="398"/>
      <c r="R319" s="398"/>
      <c r="S319" s="398"/>
      <c r="T319" s="398"/>
      <c r="U319" s="398"/>
      <c r="V319" s="398"/>
      <c r="W319" s="398"/>
      <c r="X319" s="398"/>
      <c r="Y319" s="398"/>
      <c r="Z319" s="398"/>
      <c r="AA319" s="398"/>
      <c r="AB319" s="398"/>
      <c r="AC319" s="398"/>
      <c r="AD319" s="398"/>
      <c r="AE319" s="398"/>
      <c r="AF319" s="398"/>
      <c r="AG319" s="398"/>
      <c r="AH319" s="398"/>
      <c r="AI319" s="398"/>
    </row>
    <row r="320" spans="1:35">
      <c r="A320" s="398"/>
      <c r="B320" s="398"/>
      <c r="C320" s="398"/>
      <c r="D320" s="398"/>
      <c r="E320" s="398"/>
      <c r="F320" s="398"/>
      <c r="G320" s="398"/>
      <c r="H320" s="398"/>
      <c r="I320" s="398"/>
      <c r="J320" s="398"/>
      <c r="K320" s="398"/>
      <c r="L320" s="398"/>
      <c r="M320" s="398"/>
      <c r="N320" s="398"/>
      <c r="O320" s="398"/>
      <c r="P320" s="398"/>
      <c r="Q320" s="398"/>
      <c r="R320" s="398"/>
      <c r="S320" s="398"/>
      <c r="T320" s="398"/>
      <c r="U320" s="398"/>
      <c r="V320" s="398"/>
      <c r="W320" s="398"/>
      <c r="X320" s="398"/>
      <c r="Y320" s="398"/>
      <c r="Z320" s="398"/>
      <c r="AA320" s="398"/>
      <c r="AB320" s="398"/>
      <c r="AC320" s="398"/>
      <c r="AD320" s="398"/>
      <c r="AE320" s="398"/>
      <c r="AF320" s="398"/>
      <c r="AG320" s="398"/>
      <c r="AH320" s="398"/>
      <c r="AI320" s="398"/>
    </row>
    <row r="321" spans="1:35">
      <c r="A321" s="398"/>
      <c r="B321" s="398"/>
      <c r="C321" s="398"/>
      <c r="D321" s="398"/>
      <c r="E321" s="398"/>
      <c r="F321" s="398"/>
      <c r="G321" s="398"/>
      <c r="H321" s="398"/>
      <c r="I321" s="398"/>
      <c r="J321" s="398"/>
      <c r="K321" s="398"/>
      <c r="L321" s="398"/>
      <c r="M321" s="398"/>
      <c r="N321" s="398"/>
      <c r="O321" s="398"/>
      <c r="P321" s="398"/>
      <c r="Q321" s="398"/>
      <c r="R321" s="398"/>
      <c r="S321" s="398"/>
      <c r="T321" s="398"/>
      <c r="U321" s="398"/>
      <c r="V321" s="398"/>
      <c r="W321" s="398"/>
      <c r="X321" s="398"/>
      <c r="Y321" s="398"/>
      <c r="Z321" s="398"/>
      <c r="AA321" s="398"/>
      <c r="AB321" s="398"/>
      <c r="AC321" s="398"/>
      <c r="AD321" s="398"/>
      <c r="AE321" s="398"/>
      <c r="AF321" s="398"/>
      <c r="AG321" s="398"/>
      <c r="AH321" s="398"/>
      <c r="AI321" s="398"/>
    </row>
    <row r="322" spans="1:35">
      <c r="A322" s="398"/>
      <c r="B322" s="398"/>
      <c r="C322" s="398"/>
      <c r="D322" s="398"/>
      <c r="E322" s="398"/>
      <c r="F322" s="398"/>
      <c r="G322" s="398"/>
      <c r="H322" s="398"/>
      <c r="I322" s="398"/>
      <c r="J322" s="398"/>
      <c r="K322" s="398"/>
      <c r="L322" s="398"/>
      <c r="M322" s="398"/>
      <c r="N322" s="398"/>
      <c r="O322" s="398"/>
      <c r="P322" s="398"/>
      <c r="Q322" s="398"/>
      <c r="R322" s="398"/>
      <c r="S322" s="398"/>
      <c r="T322" s="398"/>
      <c r="U322" s="398"/>
      <c r="V322" s="398"/>
      <c r="W322" s="398"/>
      <c r="X322" s="398"/>
      <c r="Y322" s="398"/>
      <c r="Z322" s="398"/>
      <c r="AA322" s="398"/>
      <c r="AB322" s="398"/>
      <c r="AC322" s="398"/>
      <c r="AD322" s="398"/>
      <c r="AE322" s="398"/>
      <c r="AF322" s="398"/>
      <c r="AG322" s="398"/>
      <c r="AH322" s="398"/>
      <c r="AI322" s="398"/>
    </row>
    <row r="323" spans="1:35">
      <c r="A323" s="398"/>
      <c r="B323" s="398"/>
      <c r="C323" s="398"/>
      <c r="D323" s="398"/>
      <c r="E323" s="398"/>
      <c r="F323" s="398"/>
      <c r="G323" s="398"/>
      <c r="H323" s="398"/>
      <c r="I323" s="398"/>
      <c r="J323" s="398"/>
      <c r="K323" s="398"/>
      <c r="L323" s="398"/>
      <c r="M323" s="398"/>
      <c r="N323" s="398"/>
      <c r="O323" s="398"/>
      <c r="P323" s="398"/>
      <c r="Q323" s="398"/>
      <c r="R323" s="398"/>
      <c r="S323" s="398"/>
      <c r="T323" s="398"/>
      <c r="U323" s="398"/>
      <c r="V323" s="398"/>
      <c r="W323" s="398"/>
      <c r="X323" s="398"/>
      <c r="Y323" s="398"/>
      <c r="Z323" s="398"/>
      <c r="AA323" s="398"/>
      <c r="AB323" s="398"/>
      <c r="AC323" s="398"/>
      <c r="AD323" s="398"/>
      <c r="AE323" s="398"/>
      <c r="AF323" s="398"/>
      <c r="AG323" s="398"/>
      <c r="AH323" s="398"/>
      <c r="AI323" s="398"/>
    </row>
    <row r="324" spans="1:35">
      <c r="A324" s="398"/>
      <c r="B324" s="398"/>
      <c r="C324" s="398"/>
      <c r="D324" s="398"/>
      <c r="E324" s="398"/>
      <c r="F324" s="398"/>
      <c r="G324" s="398"/>
      <c r="H324" s="398"/>
      <c r="I324" s="398"/>
      <c r="J324" s="398"/>
      <c r="K324" s="398"/>
      <c r="L324" s="398"/>
      <c r="M324" s="398"/>
      <c r="N324" s="398"/>
      <c r="O324" s="398"/>
      <c r="P324" s="398"/>
      <c r="Q324" s="398"/>
      <c r="R324" s="398"/>
      <c r="S324" s="398"/>
      <c r="T324" s="398"/>
      <c r="U324" s="398"/>
      <c r="V324" s="398"/>
      <c r="W324" s="398"/>
      <c r="X324" s="398"/>
      <c r="Y324" s="398"/>
      <c r="Z324" s="398"/>
      <c r="AA324" s="398"/>
      <c r="AB324" s="398"/>
      <c r="AC324" s="398"/>
      <c r="AD324" s="398"/>
      <c r="AE324" s="398"/>
      <c r="AF324" s="398"/>
      <c r="AG324" s="398"/>
      <c r="AH324" s="398"/>
      <c r="AI324" s="398"/>
    </row>
    <row r="325" spans="1:35">
      <c r="A325" s="398"/>
      <c r="B325" s="398"/>
      <c r="C325" s="398"/>
      <c r="D325" s="398"/>
      <c r="E325" s="398"/>
      <c r="F325" s="398"/>
      <c r="G325" s="398"/>
      <c r="H325" s="398"/>
      <c r="I325" s="398"/>
      <c r="J325" s="398"/>
      <c r="K325" s="398"/>
      <c r="L325" s="398"/>
      <c r="M325" s="398"/>
      <c r="N325" s="398"/>
      <c r="O325" s="398"/>
      <c r="P325" s="398"/>
      <c r="Q325" s="398"/>
      <c r="R325" s="398"/>
      <c r="S325" s="398"/>
      <c r="T325" s="398"/>
      <c r="U325" s="398"/>
      <c r="V325" s="398"/>
      <c r="W325" s="398"/>
      <c r="X325" s="398"/>
      <c r="Y325" s="398"/>
      <c r="Z325" s="398"/>
      <c r="AA325" s="398"/>
      <c r="AB325" s="398"/>
      <c r="AC325" s="398"/>
      <c r="AD325" s="398"/>
      <c r="AE325" s="398"/>
      <c r="AF325" s="398"/>
      <c r="AG325" s="398"/>
      <c r="AH325" s="398"/>
      <c r="AI325" s="398"/>
    </row>
    <row r="326" spans="1:35">
      <c r="A326" s="398"/>
      <c r="B326" s="398"/>
      <c r="C326" s="398"/>
      <c r="D326" s="398"/>
      <c r="E326" s="398"/>
      <c r="F326" s="398"/>
      <c r="G326" s="398"/>
      <c r="H326" s="398"/>
      <c r="I326" s="398"/>
      <c r="J326" s="398"/>
      <c r="K326" s="398"/>
      <c r="L326" s="398"/>
      <c r="M326" s="398"/>
      <c r="N326" s="398"/>
      <c r="O326" s="398"/>
      <c r="P326" s="398"/>
      <c r="Q326" s="398"/>
      <c r="R326" s="398"/>
      <c r="S326" s="398"/>
      <c r="T326" s="398"/>
      <c r="U326" s="398"/>
      <c r="V326" s="398"/>
      <c r="W326" s="398"/>
      <c r="X326" s="398"/>
      <c r="Y326" s="398"/>
      <c r="Z326" s="398"/>
      <c r="AA326" s="398"/>
      <c r="AB326" s="398"/>
      <c r="AC326" s="398"/>
      <c r="AD326" s="398"/>
      <c r="AE326" s="398"/>
      <c r="AF326" s="398"/>
      <c r="AG326" s="398"/>
      <c r="AH326" s="398"/>
      <c r="AI326" s="398"/>
    </row>
    <row r="327" spans="1:35">
      <c r="A327" s="398"/>
      <c r="B327" s="398"/>
      <c r="C327" s="398"/>
      <c r="D327" s="398"/>
      <c r="E327" s="398"/>
      <c r="F327" s="398"/>
      <c r="G327" s="398"/>
      <c r="H327" s="398"/>
      <c r="I327" s="398"/>
      <c r="J327" s="398"/>
      <c r="K327" s="398"/>
      <c r="L327" s="398"/>
      <c r="M327" s="398"/>
      <c r="N327" s="398"/>
      <c r="O327" s="398"/>
      <c r="P327" s="398"/>
      <c r="Q327" s="398"/>
      <c r="R327" s="398"/>
      <c r="S327" s="398"/>
      <c r="T327" s="398"/>
      <c r="U327" s="398"/>
      <c r="V327" s="398"/>
      <c r="W327" s="398"/>
      <c r="X327" s="398"/>
      <c r="Y327" s="398"/>
      <c r="Z327" s="398"/>
      <c r="AA327" s="398"/>
      <c r="AB327" s="398"/>
      <c r="AC327" s="398"/>
      <c r="AD327" s="398"/>
      <c r="AE327" s="398"/>
      <c r="AF327" s="398"/>
      <c r="AG327" s="398"/>
      <c r="AH327" s="398"/>
      <c r="AI327" s="398"/>
    </row>
    <row r="328" spans="1:35">
      <c r="A328" s="398"/>
      <c r="B328" s="398"/>
      <c r="C328" s="398"/>
      <c r="D328" s="398"/>
      <c r="E328" s="398"/>
      <c r="F328" s="398"/>
      <c r="G328" s="398"/>
      <c r="H328" s="398"/>
      <c r="I328" s="398"/>
      <c r="J328" s="398"/>
      <c r="K328" s="398"/>
      <c r="L328" s="398"/>
      <c r="M328" s="398"/>
      <c r="N328" s="398"/>
      <c r="O328" s="398"/>
      <c r="P328" s="398"/>
      <c r="Q328" s="398"/>
      <c r="R328" s="398"/>
      <c r="S328" s="398"/>
      <c r="T328" s="398"/>
      <c r="U328" s="398"/>
      <c r="V328" s="398"/>
      <c r="W328" s="398"/>
      <c r="X328" s="398"/>
      <c r="Y328" s="398"/>
      <c r="Z328" s="398"/>
      <c r="AA328" s="398"/>
      <c r="AB328" s="398"/>
      <c r="AC328" s="398"/>
      <c r="AD328" s="398"/>
      <c r="AE328" s="398"/>
      <c r="AF328" s="398"/>
      <c r="AG328" s="398"/>
      <c r="AH328" s="398"/>
      <c r="AI328" s="398"/>
    </row>
    <row r="329" spans="1:35">
      <c r="A329" s="398"/>
      <c r="B329" s="398"/>
      <c r="C329" s="398"/>
      <c r="D329" s="398"/>
      <c r="E329" s="398"/>
      <c r="F329" s="398"/>
      <c r="G329" s="398"/>
      <c r="H329" s="398"/>
      <c r="I329" s="398"/>
      <c r="J329" s="398"/>
      <c r="K329" s="398"/>
      <c r="L329" s="398"/>
      <c r="M329" s="398"/>
      <c r="N329" s="398"/>
      <c r="O329" s="398"/>
      <c r="P329" s="398"/>
      <c r="Q329" s="398"/>
      <c r="R329" s="398"/>
      <c r="S329" s="398"/>
      <c r="T329" s="398"/>
      <c r="U329" s="398"/>
      <c r="V329" s="398"/>
      <c r="W329" s="398"/>
      <c r="X329" s="398"/>
      <c r="Y329" s="398"/>
      <c r="Z329" s="398"/>
      <c r="AA329" s="398"/>
      <c r="AB329" s="398"/>
      <c r="AC329" s="398"/>
      <c r="AD329" s="398"/>
      <c r="AE329" s="398"/>
      <c r="AF329" s="398"/>
      <c r="AG329" s="398"/>
      <c r="AH329" s="398"/>
      <c r="AI329" s="398"/>
    </row>
    <row r="330" spans="1:35">
      <c r="A330" s="398"/>
      <c r="B330" s="398"/>
      <c r="C330" s="398"/>
      <c r="D330" s="398"/>
      <c r="E330" s="398"/>
      <c r="F330" s="398"/>
      <c r="G330" s="398"/>
      <c r="H330" s="398"/>
      <c r="I330" s="398"/>
      <c r="J330" s="398"/>
      <c r="K330" s="398"/>
      <c r="L330" s="398"/>
      <c r="M330" s="398"/>
      <c r="N330" s="398"/>
      <c r="O330" s="398"/>
      <c r="P330" s="398"/>
      <c r="Q330" s="398"/>
      <c r="R330" s="398"/>
      <c r="S330" s="398"/>
      <c r="T330" s="398"/>
      <c r="U330" s="398"/>
      <c r="V330" s="398"/>
      <c r="W330" s="398"/>
      <c r="X330" s="398"/>
      <c r="Y330" s="398"/>
      <c r="Z330" s="398"/>
      <c r="AA330" s="398"/>
      <c r="AB330" s="398"/>
      <c r="AC330" s="398"/>
      <c r="AD330" s="398"/>
      <c r="AE330" s="398"/>
      <c r="AF330" s="398"/>
      <c r="AG330" s="398"/>
      <c r="AH330" s="398"/>
      <c r="AI330" s="398"/>
    </row>
    <row r="331" spans="1:35">
      <c r="A331" s="398"/>
      <c r="B331" s="398"/>
      <c r="C331" s="398"/>
      <c r="D331" s="398"/>
      <c r="E331" s="398"/>
      <c r="F331" s="398"/>
      <c r="G331" s="398"/>
      <c r="H331" s="398"/>
      <c r="I331" s="398"/>
      <c r="J331" s="398"/>
      <c r="K331" s="398"/>
      <c r="L331" s="398"/>
      <c r="M331" s="398"/>
      <c r="N331" s="398"/>
      <c r="O331" s="398"/>
      <c r="P331" s="398"/>
      <c r="Q331" s="398"/>
      <c r="R331" s="398"/>
      <c r="S331" s="398"/>
      <c r="T331" s="398"/>
      <c r="U331" s="398"/>
      <c r="V331" s="398"/>
      <c r="W331" s="398"/>
      <c r="X331" s="398"/>
      <c r="Y331" s="398"/>
      <c r="Z331" s="398"/>
      <c r="AA331" s="398"/>
      <c r="AB331" s="398"/>
      <c r="AC331" s="398"/>
      <c r="AD331" s="398"/>
      <c r="AE331" s="398"/>
      <c r="AF331" s="398"/>
      <c r="AG331" s="398"/>
      <c r="AH331" s="398"/>
      <c r="AI331" s="398"/>
    </row>
    <row r="332" spans="1:35">
      <c r="A332" s="398"/>
      <c r="B332" s="398"/>
      <c r="C332" s="398"/>
      <c r="D332" s="398"/>
      <c r="E332" s="398"/>
      <c r="F332" s="398"/>
      <c r="G332" s="398"/>
      <c r="H332" s="398"/>
      <c r="I332" s="398"/>
      <c r="J332" s="398"/>
      <c r="K332" s="398"/>
      <c r="L332" s="398"/>
      <c r="M332" s="398"/>
      <c r="N332" s="398"/>
      <c r="O332" s="398"/>
      <c r="P332" s="398"/>
      <c r="Q332" s="398"/>
      <c r="R332" s="398"/>
      <c r="S332" s="398"/>
      <c r="T332" s="398"/>
      <c r="U332" s="398"/>
      <c r="V332" s="398"/>
      <c r="W332" s="398"/>
      <c r="X332" s="398"/>
      <c r="Y332" s="398"/>
      <c r="Z332" s="398"/>
      <c r="AA332" s="398"/>
      <c r="AB332" s="398"/>
      <c r="AC332" s="398"/>
      <c r="AD332" s="398"/>
      <c r="AE332" s="398"/>
      <c r="AF332" s="398"/>
      <c r="AG332" s="398"/>
      <c r="AH332" s="398"/>
      <c r="AI332" s="398"/>
    </row>
    <row r="333" spans="1:35">
      <c r="A333" s="398"/>
      <c r="B333" s="398"/>
      <c r="C333" s="398"/>
      <c r="D333" s="398"/>
      <c r="E333" s="398"/>
      <c r="F333" s="398"/>
      <c r="G333" s="398"/>
      <c r="H333" s="398"/>
      <c r="I333" s="398"/>
      <c r="J333" s="398"/>
      <c r="K333" s="398"/>
      <c r="L333" s="398"/>
      <c r="M333" s="398"/>
      <c r="N333" s="398"/>
      <c r="O333" s="398"/>
      <c r="P333" s="398"/>
      <c r="Q333" s="398"/>
      <c r="R333" s="398"/>
      <c r="S333" s="398"/>
      <c r="T333" s="398"/>
      <c r="U333" s="398"/>
      <c r="V333" s="398"/>
      <c r="W333" s="398"/>
      <c r="X333" s="398"/>
      <c r="Y333" s="398"/>
      <c r="Z333" s="398"/>
      <c r="AA333" s="398"/>
      <c r="AB333" s="398"/>
      <c r="AC333" s="398"/>
      <c r="AD333" s="398"/>
      <c r="AE333" s="398"/>
      <c r="AF333" s="398"/>
      <c r="AG333" s="398"/>
      <c r="AH333" s="398"/>
      <c r="AI333" s="398"/>
    </row>
    <row r="334" spans="1:35">
      <c r="A334" s="398"/>
      <c r="B334" s="398"/>
      <c r="C334" s="398"/>
      <c r="D334" s="398"/>
      <c r="E334" s="398"/>
      <c r="F334" s="398"/>
      <c r="G334" s="398"/>
      <c r="H334" s="398"/>
      <c r="I334" s="398"/>
      <c r="J334" s="398"/>
      <c r="K334" s="398"/>
      <c r="L334" s="398"/>
      <c r="M334" s="398"/>
      <c r="N334" s="398"/>
      <c r="O334" s="398"/>
      <c r="P334" s="398"/>
      <c r="Q334" s="398"/>
      <c r="R334" s="398"/>
      <c r="S334" s="398"/>
      <c r="T334" s="398"/>
      <c r="U334" s="398"/>
      <c r="V334" s="398"/>
      <c r="W334" s="398"/>
      <c r="X334" s="398"/>
      <c r="Y334" s="398"/>
      <c r="Z334" s="398"/>
      <c r="AA334" s="398"/>
      <c r="AB334" s="398"/>
      <c r="AC334" s="398"/>
      <c r="AD334" s="398"/>
      <c r="AE334" s="398"/>
      <c r="AF334" s="398"/>
      <c r="AG334" s="398"/>
      <c r="AH334" s="398"/>
      <c r="AI334" s="398"/>
    </row>
    <row r="335" spans="1:35">
      <c r="A335" s="398"/>
      <c r="B335" s="398"/>
      <c r="C335" s="398"/>
      <c r="D335" s="398"/>
      <c r="E335" s="398"/>
      <c r="F335" s="398"/>
      <c r="G335" s="398"/>
      <c r="H335" s="398"/>
      <c r="I335" s="398"/>
      <c r="J335" s="398"/>
      <c r="K335" s="398"/>
      <c r="L335" s="398"/>
      <c r="M335" s="398"/>
      <c r="N335" s="398"/>
      <c r="O335" s="398"/>
      <c r="P335" s="398"/>
      <c r="Q335" s="398"/>
      <c r="R335" s="398"/>
      <c r="S335" s="398"/>
      <c r="T335" s="398"/>
      <c r="U335" s="398"/>
      <c r="V335" s="398"/>
      <c r="W335" s="398"/>
      <c r="X335" s="398"/>
      <c r="Y335" s="398"/>
      <c r="Z335" s="398"/>
      <c r="AA335" s="398"/>
      <c r="AB335" s="398"/>
      <c r="AC335" s="398"/>
      <c r="AD335" s="398"/>
      <c r="AE335" s="398"/>
      <c r="AF335" s="398"/>
      <c r="AG335" s="398"/>
      <c r="AH335" s="398"/>
      <c r="AI335" s="398"/>
    </row>
    <row r="336" spans="1:35">
      <c r="A336" s="398"/>
      <c r="B336" s="398"/>
      <c r="C336" s="398"/>
      <c r="D336" s="398"/>
      <c r="E336" s="398"/>
      <c r="F336" s="398"/>
      <c r="G336" s="398"/>
      <c r="H336" s="398"/>
      <c r="I336" s="398"/>
      <c r="J336" s="398"/>
      <c r="K336" s="398"/>
      <c r="L336" s="398"/>
      <c r="M336" s="398"/>
      <c r="N336" s="398"/>
      <c r="O336" s="398"/>
      <c r="P336" s="398"/>
      <c r="Q336" s="398"/>
      <c r="R336" s="398"/>
      <c r="S336" s="398"/>
      <c r="T336" s="398"/>
      <c r="U336" s="398"/>
      <c r="V336" s="398"/>
      <c r="W336" s="398"/>
      <c r="X336" s="398"/>
      <c r="Y336" s="398"/>
      <c r="Z336" s="398"/>
      <c r="AA336" s="398"/>
      <c r="AB336" s="398"/>
      <c r="AC336" s="398"/>
      <c r="AD336" s="398"/>
      <c r="AE336" s="398"/>
      <c r="AF336" s="398"/>
      <c r="AG336" s="398"/>
      <c r="AH336" s="398"/>
      <c r="AI336" s="398"/>
    </row>
    <row r="337" spans="1:35">
      <c r="A337" s="398"/>
      <c r="B337" s="398"/>
      <c r="C337" s="398"/>
      <c r="D337" s="398"/>
      <c r="E337" s="398"/>
      <c r="F337" s="398"/>
      <c r="G337" s="398"/>
      <c r="H337" s="398"/>
      <c r="I337" s="398"/>
      <c r="J337" s="398"/>
      <c r="K337" s="398"/>
      <c r="L337" s="398"/>
      <c r="M337" s="398"/>
      <c r="N337" s="398"/>
      <c r="O337" s="398"/>
      <c r="P337" s="398"/>
      <c r="Q337" s="398"/>
      <c r="R337" s="398"/>
      <c r="S337" s="398"/>
      <c r="T337" s="398"/>
      <c r="U337" s="398"/>
      <c r="V337" s="398"/>
      <c r="W337" s="398"/>
      <c r="X337" s="398"/>
      <c r="Y337" s="398"/>
      <c r="Z337" s="398"/>
      <c r="AA337" s="398"/>
      <c r="AB337" s="398"/>
      <c r="AC337" s="398"/>
      <c r="AD337" s="398"/>
      <c r="AE337" s="398"/>
      <c r="AF337" s="398"/>
      <c r="AG337" s="398"/>
      <c r="AH337" s="398"/>
      <c r="AI337" s="398"/>
    </row>
    <row r="338" spans="1:35">
      <c r="A338" s="398"/>
      <c r="B338" s="398"/>
      <c r="C338" s="398"/>
      <c r="D338" s="398"/>
      <c r="E338" s="398"/>
      <c r="F338" s="398"/>
      <c r="G338" s="398"/>
      <c r="H338" s="398"/>
      <c r="I338" s="398"/>
      <c r="J338" s="398"/>
      <c r="K338" s="398"/>
      <c r="L338" s="398"/>
      <c r="M338" s="398"/>
      <c r="N338" s="398"/>
      <c r="O338" s="398"/>
      <c r="P338" s="398"/>
      <c r="Q338" s="398"/>
      <c r="R338" s="398"/>
      <c r="S338" s="398"/>
      <c r="T338" s="398"/>
      <c r="U338" s="398"/>
      <c r="V338" s="398"/>
      <c r="W338" s="398"/>
      <c r="X338" s="398"/>
      <c r="Y338" s="398"/>
      <c r="Z338" s="398"/>
      <c r="AA338" s="398"/>
      <c r="AB338" s="398"/>
      <c r="AC338" s="398"/>
      <c r="AD338" s="398"/>
      <c r="AE338" s="398"/>
      <c r="AF338" s="398"/>
      <c r="AG338" s="398"/>
      <c r="AH338" s="398"/>
      <c r="AI338" s="398"/>
    </row>
    <row r="339" spans="1:35">
      <c r="A339" s="398"/>
      <c r="B339" s="398"/>
      <c r="C339" s="398"/>
      <c r="D339" s="398"/>
      <c r="E339" s="398"/>
      <c r="F339" s="398"/>
      <c r="G339" s="398"/>
      <c r="H339" s="398"/>
      <c r="I339" s="398"/>
      <c r="J339" s="398"/>
      <c r="K339" s="398"/>
      <c r="L339" s="398"/>
      <c r="M339" s="398"/>
      <c r="N339" s="398"/>
      <c r="O339" s="398"/>
      <c r="P339" s="398"/>
      <c r="Q339" s="398"/>
      <c r="R339" s="398"/>
      <c r="S339" s="398"/>
      <c r="T339" s="398"/>
      <c r="U339" s="398"/>
      <c r="V339" s="398"/>
      <c r="W339" s="398"/>
      <c r="X339" s="398"/>
      <c r="Y339" s="398"/>
      <c r="Z339" s="398"/>
      <c r="AA339" s="398"/>
      <c r="AB339" s="398"/>
      <c r="AC339" s="398"/>
      <c r="AD339" s="398"/>
      <c r="AE339" s="398"/>
      <c r="AF339" s="398"/>
      <c r="AG339" s="398"/>
      <c r="AH339" s="398"/>
      <c r="AI339" s="398"/>
    </row>
    <row r="340" spans="1:35">
      <c r="A340" s="398"/>
      <c r="B340" s="398"/>
      <c r="C340" s="398"/>
      <c r="D340" s="398"/>
      <c r="E340" s="398"/>
      <c r="F340" s="398"/>
      <c r="G340" s="398"/>
      <c r="H340" s="398"/>
      <c r="I340" s="398"/>
      <c r="J340" s="398"/>
      <c r="K340" s="398"/>
      <c r="L340" s="398"/>
      <c r="M340" s="398"/>
      <c r="N340" s="398"/>
      <c r="O340" s="398"/>
      <c r="P340" s="398"/>
      <c r="Q340" s="398"/>
      <c r="R340" s="398"/>
      <c r="S340" s="398"/>
      <c r="T340" s="398"/>
      <c r="U340" s="398"/>
      <c r="V340" s="398"/>
      <c r="W340" s="398"/>
      <c r="X340" s="398"/>
      <c r="Y340" s="398"/>
      <c r="Z340" s="398"/>
      <c r="AA340" s="398"/>
      <c r="AB340" s="398"/>
      <c r="AC340" s="398"/>
      <c r="AD340" s="398"/>
      <c r="AE340" s="398"/>
      <c r="AF340" s="398"/>
      <c r="AG340" s="398"/>
      <c r="AH340" s="398"/>
      <c r="AI340" s="398"/>
    </row>
    <row r="341" spans="1:35">
      <c r="A341" s="398"/>
      <c r="B341" s="398"/>
      <c r="C341" s="398"/>
      <c r="D341" s="398"/>
      <c r="E341" s="398"/>
      <c r="F341" s="398"/>
      <c r="G341" s="398"/>
      <c r="H341" s="398"/>
      <c r="I341" s="398"/>
      <c r="J341" s="398"/>
      <c r="K341" s="398"/>
      <c r="L341" s="398"/>
      <c r="M341" s="398"/>
      <c r="N341" s="398"/>
      <c r="O341" s="398"/>
      <c r="P341" s="398"/>
      <c r="Q341" s="398"/>
      <c r="R341" s="398"/>
      <c r="S341" s="398"/>
      <c r="T341" s="398"/>
      <c r="U341" s="398"/>
      <c r="V341" s="398"/>
      <c r="W341" s="398"/>
      <c r="X341" s="398"/>
      <c r="Y341" s="398"/>
      <c r="Z341" s="398"/>
      <c r="AA341" s="398"/>
      <c r="AB341" s="398"/>
      <c r="AC341" s="398"/>
      <c r="AD341" s="398"/>
      <c r="AE341" s="398"/>
      <c r="AF341" s="398"/>
      <c r="AG341" s="398"/>
      <c r="AH341" s="398"/>
      <c r="AI341" s="398"/>
    </row>
    <row r="342" spans="1:35">
      <c r="A342" s="398"/>
      <c r="B342" s="398"/>
      <c r="C342" s="398"/>
      <c r="D342" s="398"/>
      <c r="E342" s="398"/>
      <c r="F342" s="398"/>
      <c r="G342" s="398"/>
      <c r="H342" s="398"/>
      <c r="I342" s="398"/>
      <c r="J342" s="398"/>
      <c r="K342" s="398"/>
      <c r="L342" s="398"/>
      <c r="M342" s="398"/>
      <c r="N342" s="398"/>
      <c r="O342" s="398"/>
      <c r="P342" s="398"/>
      <c r="Q342" s="398"/>
      <c r="R342" s="398"/>
      <c r="S342" s="398"/>
      <c r="T342" s="398"/>
      <c r="U342" s="398"/>
      <c r="V342" s="398"/>
      <c r="W342" s="398"/>
      <c r="X342" s="398"/>
      <c r="Y342" s="398"/>
      <c r="Z342" s="398"/>
      <c r="AA342" s="398"/>
      <c r="AB342" s="398"/>
      <c r="AC342" s="398"/>
      <c r="AD342" s="398"/>
      <c r="AE342" s="398"/>
      <c r="AF342" s="398"/>
      <c r="AG342" s="398"/>
      <c r="AH342" s="398"/>
      <c r="AI342" s="398"/>
    </row>
    <row r="343" spans="1:35">
      <c r="A343" s="398"/>
      <c r="B343" s="398"/>
      <c r="C343" s="398"/>
      <c r="D343" s="398"/>
      <c r="E343" s="398"/>
      <c r="F343" s="398"/>
      <c r="G343" s="398"/>
      <c r="H343" s="398"/>
      <c r="I343" s="398"/>
      <c r="J343" s="398"/>
      <c r="K343" s="398"/>
      <c r="L343" s="398"/>
      <c r="M343" s="398"/>
      <c r="N343" s="398"/>
      <c r="O343" s="398"/>
      <c r="P343" s="398"/>
      <c r="Q343" s="398"/>
      <c r="R343" s="398"/>
      <c r="S343" s="398"/>
      <c r="T343" s="398"/>
      <c r="U343" s="398"/>
      <c r="V343" s="398"/>
      <c r="W343" s="398"/>
      <c r="X343" s="398"/>
      <c r="Y343" s="398"/>
      <c r="Z343" s="398"/>
      <c r="AA343" s="398"/>
      <c r="AB343" s="398"/>
      <c r="AC343" s="398"/>
      <c r="AD343" s="398"/>
      <c r="AE343" s="398"/>
      <c r="AF343" s="398"/>
      <c r="AG343" s="398"/>
      <c r="AH343" s="398"/>
      <c r="AI343" s="398"/>
    </row>
    <row r="344" spans="1:35">
      <c r="A344" s="398"/>
      <c r="B344" s="398"/>
      <c r="C344" s="398"/>
      <c r="D344" s="398"/>
      <c r="E344" s="398"/>
      <c r="F344" s="398"/>
      <c r="G344" s="398"/>
      <c r="H344" s="398"/>
      <c r="I344" s="398"/>
      <c r="J344" s="398"/>
      <c r="K344" s="398"/>
      <c r="L344" s="398"/>
      <c r="M344" s="398"/>
      <c r="N344" s="398"/>
      <c r="O344" s="398"/>
      <c r="P344" s="398"/>
      <c r="Q344" s="398"/>
      <c r="R344" s="398"/>
      <c r="S344" s="398"/>
      <c r="T344" s="398"/>
      <c r="U344" s="398"/>
      <c r="V344" s="398"/>
      <c r="W344" s="398"/>
      <c r="X344" s="398"/>
      <c r="Y344" s="398"/>
      <c r="Z344" s="398"/>
      <c r="AA344" s="398"/>
      <c r="AB344" s="398"/>
      <c r="AC344" s="398"/>
      <c r="AD344" s="398"/>
      <c r="AE344" s="398"/>
      <c r="AF344" s="398"/>
      <c r="AG344" s="398"/>
      <c r="AH344" s="398"/>
      <c r="AI344" s="398"/>
    </row>
    <row r="345" spans="1:35">
      <c r="A345" s="398"/>
      <c r="B345" s="398"/>
      <c r="C345" s="398"/>
      <c r="D345" s="398"/>
      <c r="E345" s="398"/>
      <c r="F345" s="398"/>
      <c r="G345" s="398"/>
      <c r="H345" s="398"/>
      <c r="I345" s="398"/>
      <c r="J345" s="398"/>
      <c r="K345" s="398"/>
      <c r="L345" s="398"/>
      <c r="M345" s="398"/>
      <c r="N345" s="398"/>
      <c r="O345" s="398"/>
      <c r="P345" s="398"/>
      <c r="Q345" s="398"/>
      <c r="R345" s="398"/>
      <c r="S345" s="398"/>
      <c r="T345" s="398"/>
      <c r="U345" s="398"/>
      <c r="V345" s="398"/>
      <c r="W345" s="398"/>
      <c r="X345" s="398"/>
      <c r="Y345" s="398"/>
      <c r="Z345" s="398"/>
      <c r="AA345" s="398"/>
      <c r="AB345" s="398"/>
      <c r="AC345" s="398"/>
      <c r="AD345" s="398"/>
      <c r="AE345" s="398"/>
      <c r="AF345" s="398"/>
      <c r="AG345" s="398"/>
      <c r="AH345" s="398"/>
      <c r="AI345" s="398"/>
    </row>
    <row r="346" spans="1:35">
      <c r="A346" s="398"/>
      <c r="B346" s="398"/>
      <c r="C346" s="398"/>
      <c r="D346" s="398"/>
      <c r="E346" s="398"/>
      <c r="F346" s="398"/>
      <c r="G346" s="398"/>
      <c r="H346" s="398"/>
      <c r="I346" s="398"/>
      <c r="J346" s="398"/>
      <c r="K346" s="398"/>
      <c r="L346" s="398"/>
      <c r="M346" s="398"/>
      <c r="N346" s="398"/>
      <c r="O346" s="398"/>
      <c r="P346" s="398"/>
      <c r="Q346" s="398"/>
      <c r="R346" s="398"/>
      <c r="S346" s="398"/>
      <c r="T346" s="398"/>
      <c r="U346" s="398"/>
      <c r="V346" s="398"/>
      <c r="W346" s="398"/>
      <c r="X346" s="398"/>
      <c r="Y346" s="398"/>
      <c r="Z346" s="398"/>
      <c r="AA346" s="398"/>
      <c r="AB346" s="398"/>
      <c r="AC346" s="398"/>
      <c r="AD346" s="398"/>
      <c r="AE346" s="398"/>
      <c r="AF346" s="398"/>
      <c r="AG346" s="398"/>
      <c r="AH346" s="398"/>
      <c r="AI346" s="398"/>
    </row>
    <row r="347" spans="1:35">
      <c r="A347" s="398"/>
      <c r="B347" s="398"/>
      <c r="C347" s="398"/>
      <c r="D347" s="398"/>
      <c r="E347" s="398"/>
      <c r="F347" s="398"/>
      <c r="G347" s="398"/>
      <c r="H347" s="398"/>
      <c r="I347" s="398"/>
      <c r="J347" s="398"/>
      <c r="K347" s="398"/>
      <c r="L347" s="398"/>
      <c r="M347" s="398"/>
      <c r="N347" s="398"/>
      <c r="O347" s="398"/>
      <c r="P347" s="398"/>
      <c r="Q347" s="398"/>
      <c r="R347" s="398"/>
      <c r="S347" s="398"/>
      <c r="T347" s="398"/>
      <c r="U347" s="398"/>
      <c r="V347" s="398"/>
      <c r="W347" s="398"/>
      <c r="X347" s="398"/>
      <c r="Y347" s="398"/>
      <c r="Z347" s="398"/>
      <c r="AA347" s="398"/>
      <c r="AB347" s="398"/>
      <c r="AC347" s="398"/>
      <c r="AD347" s="398"/>
      <c r="AE347" s="398"/>
      <c r="AF347" s="398"/>
      <c r="AG347" s="398"/>
      <c r="AH347" s="398"/>
      <c r="AI347" s="398"/>
    </row>
    <row r="348" spans="1:35">
      <c r="A348" s="398"/>
      <c r="B348" s="398"/>
      <c r="C348" s="398"/>
      <c r="D348" s="398"/>
      <c r="E348" s="398"/>
      <c r="F348" s="398"/>
      <c r="G348" s="398"/>
      <c r="H348" s="398"/>
      <c r="I348" s="398"/>
      <c r="J348" s="398"/>
      <c r="K348" s="398"/>
      <c r="L348" s="398"/>
      <c r="M348" s="398"/>
      <c r="N348" s="398"/>
      <c r="O348" s="398"/>
      <c r="P348" s="398"/>
      <c r="Q348" s="398"/>
      <c r="R348" s="398"/>
      <c r="S348" s="398"/>
      <c r="T348" s="398"/>
      <c r="U348" s="398"/>
      <c r="V348" s="398"/>
      <c r="W348" s="398"/>
      <c r="X348" s="398"/>
      <c r="Y348" s="398"/>
      <c r="Z348" s="398"/>
      <c r="AA348" s="398"/>
      <c r="AB348" s="398"/>
      <c r="AC348" s="398"/>
      <c r="AD348" s="398"/>
      <c r="AE348" s="398"/>
      <c r="AF348" s="398"/>
      <c r="AG348" s="398"/>
      <c r="AH348" s="398"/>
      <c r="AI348" s="398"/>
    </row>
    <row r="349" spans="1:35">
      <c r="A349" s="398"/>
      <c r="B349" s="398"/>
      <c r="C349" s="398"/>
      <c r="D349" s="398"/>
      <c r="E349" s="398"/>
      <c r="F349" s="398"/>
      <c r="G349" s="398"/>
      <c r="H349" s="398"/>
      <c r="I349" s="398"/>
      <c r="J349" s="398"/>
      <c r="K349" s="398"/>
      <c r="L349" s="398"/>
      <c r="M349" s="398"/>
      <c r="N349" s="398"/>
      <c r="O349" s="398"/>
      <c r="P349" s="398"/>
      <c r="Q349" s="398"/>
      <c r="R349" s="398"/>
      <c r="S349" s="398"/>
      <c r="T349" s="398"/>
      <c r="U349" s="398"/>
      <c r="V349" s="398"/>
      <c r="W349" s="398"/>
      <c r="X349" s="398"/>
      <c r="Y349" s="398"/>
      <c r="Z349" s="398"/>
      <c r="AA349" s="398"/>
      <c r="AB349" s="398"/>
      <c r="AC349" s="398"/>
      <c r="AD349" s="398"/>
      <c r="AE349" s="398"/>
      <c r="AF349" s="398"/>
      <c r="AG349" s="398"/>
      <c r="AH349" s="398"/>
      <c r="AI349" s="398"/>
    </row>
    <row r="350" spans="1:35">
      <c r="A350" s="398"/>
      <c r="B350" s="398"/>
      <c r="C350" s="398"/>
      <c r="D350" s="398"/>
      <c r="E350" s="398"/>
      <c r="F350" s="398"/>
      <c r="G350" s="398"/>
      <c r="H350" s="398"/>
      <c r="I350" s="398"/>
      <c r="J350" s="398"/>
      <c r="K350" s="398"/>
      <c r="L350" s="398"/>
      <c r="M350" s="398"/>
      <c r="N350" s="398"/>
      <c r="O350" s="398"/>
      <c r="P350" s="398"/>
      <c r="Q350" s="398"/>
      <c r="R350" s="398"/>
      <c r="S350" s="398"/>
      <c r="T350" s="398"/>
      <c r="U350" s="398"/>
      <c r="V350" s="398"/>
      <c r="W350" s="398"/>
      <c r="X350" s="398"/>
      <c r="Y350" s="398"/>
      <c r="Z350" s="398"/>
      <c r="AA350" s="398"/>
      <c r="AB350" s="398"/>
      <c r="AC350" s="398"/>
      <c r="AD350" s="398"/>
      <c r="AE350" s="398"/>
      <c r="AF350" s="398"/>
      <c r="AG350" s="398"/>
      <c r="AH350" s="398"/>
      <c r="AI350" s="398"/>
    </row>
    <row r="351" spans="1:35">
      <c r="A351" s="398"/>
      <c r="B351" s="398"/>
      <c r="C351" s="398"/>
      <c r="D351" s="398"/>
      <c r="E351" s="398"/>
      <c r="F351" s="398"/>
      <c r="G351" s="398"/>
      <c r="H351" s="398"/>
      <c r="I351" s="398"/>
      <c r="J351" s="398"/>
      <c r="K351" s="398"/>
      <c r="L351" s="398"/>
      <c r="M351" s="398"/>
      <c r="N351" s="398"/>
      <c r="O351" s="398"/>
      <c r="P351" s="398"/>
      <c r="Q351" s="398"/>
      <c r="R351" s="398"/>
      <c r="S351" s="398"/>
      <c r="T351" s="398"/>
      <c r="U351" s="398"/>
      <c r="V351" s="398"/>
      <c r="W351" s="398"/>
      <c r="X351" s="398"/>
      <c r="Y351" s="398"/>
      <c r="Z351" s="398"/>
      <c r="AA351" s="398"/>
      <c r="AB351" s="398"/>
      <c r="AC351" s="398"/>
      <c r="AD351" s="398"/>
      <c r="AE351" s="398"/>
      <c r="AF351" s="398"/>
      <c r="AG351" s="398"/>
      <c r="AH351" s="398"/>
      <c r="AI351" s="398"/>
    </row>
    <row r="352" spans="1:35">
      <c r="A352" s="398"/>
      <c r="B352" s="398"/>
      <c r="C352" s="398"/>
      <c r="D352" s="398"/>
      <c r="E352" s="398"/>
      <c r="F352" s="398"/>
      <c r="G352" s="398"/>
      <c r="H352" s="398"/>
      <c r="I352" s="398"/>
      <c r="J352" s="398"/>
      <c r="K352" s="398"/>
      <c r="L352" s="398"/>
      <c r="M352" s="398"/>
      <c r="N352" s="398"/>
      <c r="O352" s="398"/>
      <c r="P352" s="398"/>
      <c r="Q352" s="398"/>
      <c r="R352" s="398"/>
      <c r="S352" s="398"/>
      <c r="T352" s="398"/>
      <c r="U352" s="398"/>
      <c r="V352" s="398"/>
      <c r="W352" s="398"/>
      <c r="X352" s="398"/>
      <c r="Y352" s="398"/>
      <c r="Z352" s="398"/>
      <c r="AA352" s="398"/>
      <c r="AB352" s="398"/>
      <c r="AC352" s="398"/>
      <c r="AD352" s="398"/>
      <c r="AE352" s="398"/>
      <c r="AF352" s="398"/>
      <c r="AG352" s="398"/>
      <c r="AH352" s="398"/>
      <c r="AI352" s="398"/>
    </row>
    <row r="353" spans="1:35">
      <c r="A353" s="398"/>
      <c r="B353" s="398"/>
      <c r="C353" s="398"/>
      <c r="D353" s="398"/>
      <c r="E353" s="398"/>
      <c r="F353" s="398"/>
      <c r="G353" s="398"/>
      <c r="H353" s="398"/>
      <c r="I353" s="398"/>
      <c r="J353" s="398"/>
      <c r="K353" s="398"/>
      <c r="L353" s="398"/>
      <c r="M353" s="398"/>
      <c r="N353" s="398"/>
      <c r="O353" s="398"/>
      <c r="P353" s="398"/>
      <c r="Q353" s="398"/>
      <c r="R353" s="398"/>
      <c r="S353" s="398"/>
      <c r="T353" s="398"/>
      <c r="U353" s="398"/>
      <c r="V353" s="398"/>
      <c r="W353" s="398"/>
      <c r="X353" s="398"/>
      <c r="Y353" s="398"/>
      <c r="Z353" s="398"/>
      <c r="AA353" s="398"/>
      <c r="AB353" s="398"/>
      <c r="AC353" s="398"/>
      <c r="AD353" s="398"/>
      <c r="AE353" s="398"/>
      <c r="AF353" s="398"/>
      <c r="AG353" s="398"/>
      <c r="AH353" s="398"/>
      <c r="AI353" s="398"/>
    </row>
    <row r="354" spans="1:35">
      <c r="A354" s="398"/>
      <c r="B354" s="398"/>
      <c r="C354" s="398"/>
      <c r="D354" s="398"/>
      <c r="E354" s="398"/>
      <c r="F354" s="398"/>
      <c r="G354" s="398"/>
      <c r="H354" s="398"/>
      <c r="I354" s="398"/>
      <c r="J354" s="398"/>
      <c r="K354" s="398"/>
      <c r="L354" s="398"/>
      <c r="M354" s="398"/>
      <c r="N354" s="398"/>
      <c r="O354" s="398"/>
      <c r="P354" s="398"/>
      <c r="Q354" s="398"/>
      <c r="R354" s="398"/>
      <c r="S354" s="398"/>
      <c r="T354" s="398"/>
      <c r="U354" s="398"/>
      <c r="V354" s="398"/>
      <c r="W354" s="398"/>
      <c r="X354" s="398"/>
      <c r="Y354" s="398"/>
      <c r="Z354" s="398"/>
      <c r="AA354" s="398"/>
      <c r="AB354" s="398"/>
      <c r="AC354" s="398"/>
      <c r="AD354" s="398"/>
      <c r="AE354" s="398"/>
      <c r="AF354" s="398"/>
      <c r="AG354" s="398"/>
      <c r="AH354" s="398"/>
      <c r="AI354" s="398"/>
    </row>
    <row r="355" spans="1:35">
      <c r="A355" s="398"/>
      <c r="B355" s="398"/>
      <c r="C355" s="398"/>
      <c r="D355" s="398"/>
      <c r="E355" s="398"/>
      <c r="F355" s="398"/>
      <c r="G355" s="398"/>
      <c r="H355" s="398"/>
      <c r="I355" s="398"/>
      <c r="J355" s="398"/>
      <c r="K355" s="398"/>
      <c r="L355" s="398"/>
      <c r="M355" s="398"/>
      <c r="N355" s="398"/>
      <c r="O355" s="398"/>
      <c r="P355" s="398"/>
      <c r="Q355" s="398"/>
      <c r="R355" s="398"/>
      <c r="S355" s="398"/>
      <c r="T355" s="398"/>
      <c r="U355" s="398"/>
      <c r="V355" s="398"/>
      <c r="W355" s="398"/>
      <c r="X355" s="398"/>
      <c r="Y355" s="398"/>
      <c r="Z355" s="398"/>
      <c r="AA355" s="398"/>
      <c r="AB355" s="398"/>
      <c r="AC355" s="398"/>
      <c r="AD355" s="398"/>
      <c r="AE355" s="398"/>
      <c r="AF355" s="398"/>
      <c r="AG355" s="398"/>
      <c r="AH355" s="398"/>
      <c r="AI355" s="398"/>
    </row>
    <row r="356" spans="1:35">
      <c r="A356" s="398"/>
      <c r="B356" s="398"/>
      <c r="C356" s="398"/>
      <c r="D356" s="398"/>
      <c r="E356" s="398"/>
      <c r="F356" s="398"/>
      <c r="G356" s="398"/>
      <c r="H356" s="398"/>
      <c r="I356" s="398"/>
      <c r="J356" s="398"/>
      <c r="K356" s="398"/>
      <c r="L356" s="398"/>
      <c r="M356" s="398"/>
      <c r="N356" s="398"/>
      <c r="O356" s="398"/>
      <c r="P356" s="398"/>
      <c r="Q356" s="398"/>
      <c r="R356" s="398"/>
      <c r="S356" s="398"/>
      <c r="T356" s="398"/>
      <c r="U356" s="398"/>
      <c r="V356" s="398"/>
      <c r="W356" s="398"/>
      <c r="X356" s="398"/>
      <c r="Y356" s="398"/>
      <c r="Z356" s="398"/>
      <c r="AA356" s="398"/>
      <c r="AB356" s="398"/>
      <c r="AC356" s="398"/>
      <c r="AD356" s="398"/>
      <c r="AE356" s="398"/>
      <c r="AF356" s="398"/>
      <c r="AG356" s="398"/>
      <c r="AH356" s="398"/>
      <c r="AI356" s="398"/>
    </row>
    <row r="357" spans="1:35">
      <c r="A357" s="398"/>
      <c r="B357" s="398"/>
      <c r="C357" s="398"/>
      <c r="D357" s="398"/>
      <c r="E357" s="398"/>
      <c r="F357" s="398"/>
      <c r="G357" s="398"/>
      <c r="H357" s="398"/>
      <c r="I357" s="398"/>
      <c r="J357" s="398"/>
      <c r="K357" s="398"/>
      <c r="L357" s="398"/>
      <c r="M357" s="398"/>
      <c r="N357" s="398"/>
      <c r="O357" s="398"/>
      <c r="P357" s="398"/>
      <c r="Q357" s="398"/>
      <c r="R357" s="398"/>
      <c r="S357" s="398"/>
      <c r="T357" s="398"/>
      <c r="U357" s="398"/>
      <c r="V357" s="398"/>
      <c r="W357" s="398"/>
      <c r="X357" s="398"/>
      <c r="Y357" s="398"/>
      <c r="Z357" s="398"/>
      <c r="AA357" s="398"/>
      <c r="AB357" s="398"/>
      <c r="AC357" s="398"/>
      <c r="AD357" s="398"/>
      <c r="AE357" s="398"/>
      <c r="AF357" s="398"/>
      <c r="AG357" s="398"/>
      <c r="AH357" s="398"/>
      <c r="AI357" s="398"/>
    </row>
    <row r="358" spans="1:35">
      <c r="A358" s="398"/>
      <c r="B358" s="398"/>
      <c r="C358" s="398"/>
      <c r="D358" s="398"/>
      <c r="E358" s="398"/>
      <c r="F358" s="398"/>
      <c r="G358" s="398"/>
      <c r="H358" s="398"/>
      <c r="I358" s="398"/>
      <c r="J358" s="398"/>
      <c r="K358" s="398"/>
      <c r="L358" s="398"/>
      <c r="M358" s="398"/>
      <c r="N358" s="398"/>
      <c r="O358" s="398"/>
      <c r="P358" s="398"/>
      <c r="Q358" s="398"/>
      <c r="R358" s="398"/>
      <c r="S358" s="398"/>
      <c r="T358" s="398"/>
      <c r="U358" s="398"/>
      <c r="V358" s="398"/>
      <c r="W358" s="398"/>
      <c r="X358" s="398"/>
      <c r="Y358" s="398"/>
      <c r="Z358" s="398"/>
      <c r="AA358" s="398"/>
      <c r="AB358" s="398"/>
      <c r="AC358" s="398"/>
      <c r="AD358" s="398"/>
      <c r="AE358" s="398"/>
      <c r="AF358" s="398"/>
      <c r="AG358" s="398"/>
      <c r="AH358" s="398"/>
      <c r="AI358" s="398"/>
    </row>
    <row r="359" spans="1:35">
      <c r="A359" s="398"/>
      <c r="B359" s="398"/>
      <c r="C359" s="398"/>
      <c r="D359" s="398"/>
      <c r="E359" s="398"/>
      <c r="F359" s="398"/>
      <c r="G359" s="398"/>
      <c r="H359" s="398"/>
      <c r="I359" s="398"/>
      <c r="J359" s="398"/>
      <c r="K359" s="398"/>
      <c r="L359" s="398"/>
      <c r="M359" s="398"/>
      <c r="N359" s="398"/>
      <c r="O359" s="398"/>
      <c r="P359" s="398"/>
      <c r="Q359" s="398"/>
      <c r="R359" s="398"/>
      <c r="S359" s="398"/>
      <c r="T359" s="398"/>
      <c r="U359" s="398"/>
      <c r="V359" s="398"/>
      <c r="W359" s="398"/>
      <c r="X359" s="398"/>
      <c r="Y359" s="398"/>
      <c r="Z359" s="398"/>
      <c r="AA359" s="398"/>
      <c r="AB359" s="398"/>
      <c r="AC359" s="398"/>
      <c r="AD359" s="398"/>
      <c r="AE359" s="398"/>
      <c r="AF359" s="398"/>
      <c r="AG359" s="398"/>
      <c r="AH359" s="398"/>
      <c r="AI359" s="398"/>
    </row>
    <row r="360" spans="1:35">
      <c r="A360" s="398"/>
      <c r="B360" s="398"/>
      <c r="C360" s="398"/>
      <c r="D360" s="398"/>
      <c r="E360" s="398"/>
      <c r="F360" s="398"/>
      <c r="G360" s="398"/>
      <c r="H360" s="398"/>
      <c r="I360" s="398"/>
      <c r="J360" s="398"/>
      <c r="K360" s="398"/>
      <c r="L360" s="398"/>
      <c r="M360" s="398"/>
      <c r="N360" s="398"/>
      <c r="O360" s="398"/>
      <c r="P360" s="398"/>
      <c r="Q360" s="398"/>
      <c r="R360" s="398"/>
      <c r="S360" s="398"/>
      <c r="T360" s="398"/>
      <c r="U360" s="398"/>
      <c r="V360" s="398"/>
      <c r="W360" s="398"/>
      <c r="X360" s="398"/>
      <c r="Y360" s="398"/>
      <c r="Z360" s="398"/>
      <c r="AA360" s="398"/>
      <c r="AB360" s="398"/>
      <c r="AC360" s="398"/>
      <c r="AD360" s="398"/>
      <c r="AE360" s="398"/>
      <c r="AF360" s="398"/>
      <c r="AG360" s="398"/>
      <c r="AH360" s="398"/>
      <c r="AI360" s="398"/>
    </row>
    <row r="361" spans="1:35">
      <c r="A361" s="398"/>
      <c r="B361" s="398"/>
      <c r="C361" s="398"/>
      <c r="D361" s="398"/>
      <c r="E361" s="398"/>
      <c r="F361" s="398"/>
      <c r="G361" s="398"/>
      <c r="H361" s="398"/>
      <c r="I361" s="398"/>
      <c r="J361" s="398"/>
      <c r="K361" s="398"/>
      <c r="L361" s="398"/>
      <c r="M361" s="398"/>
      <c r="N361" s="398"/>
      <c r="O361" s="398"/>
      <c r="P361" s="398"/>
      <c r="Q361" s="398"/>
      <c r="R361" s="398"/>
      <c r="S361" s="398"/>
      <c r="T361" s="398"/>
      <c r="U361" s="398"/>
      <c r="V361" s="398"/>
      <c r="W361" s="398"/>
      <c r="X361" s="398"/>
      <c r="Y361" s="398"/>
      <c r="Z361" s="398"/>
      <c r="AA361" s="398"/>
      <c r="AB361" s="398"/>
      <c r="AC361" s="398"/>
      <c r="AD361" s="398"/>
      <c r="AE361" s="398"/>
      <c r="AF361" s="398"/>
      <c r="AG361" s="398"/>
      <c r="AH361" s="398"/>
      <c r="AI361" s="398"/>
    </row>
    <row r="362" spans="1:35">
      <c r="A362" s="398"/>
      <c r="B362" s="398"/>
      <c r="C362" s="398"/>
      <c r="D362" s="398"/>
      <c r="E362" s="398"/>
      <c r="F362" s="398"/>
      <c r="G362" s="398"/>
      <c r="H362" s="398"/>
      <c r="I362" s="398"/>
      <c r="J362" s="398"/>
      <c r="K362" s="398"/>
      <c r="L362" s="398"/>
      <c r="M362" s="398"/>
      <c r="N362" s="398"/>
      <c r="O362" s="398"/>
      <c r="P362" s="398"/>
      <c r="Q362" s="398"/>
      <c r="R362" s="398"/>
      <c r="S362" s="398"/>
      <c r="T362" s="398"/>
      <c r="U362" s="398"/>
      <c r="V362" s="398"/>
      <c r="W362" s="398"/>
      <c r="X362" s="398"/>
      <c r="Y362" s="398"/>
      <c r="Z362" s="398"/>
      <c r="AA362" s="398"/>
      <c r="AB362" s="398"/>
      <c r="AC362" s="398"/>
      <c r="AD362" s="398"/>
      <c r="AE362" s="398"/>
      <c r="AF362" s="398"/>
      <c r="AG362" s="398"/>
      <c r="AH362" s="398"/>
      <c r="AI362" s="398"/>
    </row>
    <row r="363" spans="1:35">
      <c r="A363" s="398"/>
      <c r="B363" s="398"/>
      <c r="C363" s="398"/>
      <c r="D363" s="398"/>
      <c r="E363" s="398"/>
      <c r="F363" s="398"/>
      <c r="G363" s="398"/>
      <c r="H363" s="398"/>
      <c r="I363" s="398"/>
      <c r="J363" s="398"/>
      <c r="K363" s="398"/>
      <c r="L363" s="398"/>
      <c r="M363" s="398"/>
      <c r="N363" s="398"/>
      <c r="O363" s="398"/>
      <c r="P363" s="398"/>
      <c r="Q363" s="398"/>
      <c r="R363" s="398"/>
      <c r="S363" s="398"/>
      <c r="T363" s="398"/>
      <c r="U363" s="398"/>
      <c r="V363" s="398"/>
      <c r="W363" s="398"/>
      <c r="X363" s="398"/>
      <c r="Y363" s="398"/>
      <c r="Z363" s="398"/>
      <c r="AA363" s="398"/>
      <c r="AB363" s="398"/>
      <c r="AC363" s="398"/>
      <c r="AD363" s="398"/>
      <c r="AE363" s="398"/>
      <c r="AF363" s="398"/>
      <c r="AG363" s="398"/>
      <c r="AH363" s="398"/>
      <c r="AI363" s="398"/>
    </row>
    <row r="364" spans="1:35">
      <c r="A364" s="398"/>
      <c r="B364" s="398"/>
      <c r="C364" s="398"/>
      <c r="D364" s="398"/>
      <c r="E364" s="398"/>
      <c r="F364" s="398"/>
      <c r="G364" s="398"/>
      <c r="H364" s="398"/>
      <c r="I364" s="398"/>
      <c r="J364" s="398"/>
      <c r="K364" s="398"/>
      <c r="L364" s="398"/>
      <c r="M364" s="398"/>
      <c r="N364" s="398"/>
      <c r="O364" s="398"/>
      <c r="P364" s="398"/>
      <c r="Q364" s="398"/>
      <c r="R364" s="398"/>
      <c r="S364" s="398"/>
      <c r="T364" s="398"/>
      <c r="U364" s="398"/>
      <c r="V364" s="398"/>
      <c r="W364" s="398"/>
      <c r="X364" s="398"/>
      <c r="Y364" s="398"/>
      <c r="Z364" s="398"/>
      <c r="AA364" s="398"/>
      <c r="AB364" s="398"/>
      <c r="AC364" s="398"/>
      <c r="AD364" s="398"/>
      <c r="AE364" s="398"/>
      <c r="AF364" s="398"/>
      <c r="AG364" s="398"/>
      <c r="AH364" s="398"/>
      <c r="AI364" s="398"/>
    </row>
    <row r="365" spans="1:35">
      <c r="A365" s="398"/>
      <c r="B365" s="398"/>
      <c r="C365" s="398"/>
      <c r="D365" s="398"/>
      <c r="E365" s="398"/>
      <c r="F365" s="398"/>
      <c r="G365" s="398"/>
      <c r="H365" s="398"/>
      <c r="I365" s="398"/>
      <c r="J365" s="398"/>
      <c r="K365" s="398"/>
      <c r="L365" s="398"/>
      <c r="M365" s="398"/>
      <c r="N365" s="398"/>
      <c r="O365" s="398"/>
      <c r="P365" s="398"/>
      <c r="Q365" s="398"/>
      <c r="R365" s="398"/>
      <c r="S365" s="398"/>
      <c r="T365" s="398"/>
      <c r="U365" s="398"/>
      <c r="V365" s="398"/>
      <c r="W365" s="398"/>
      <c r="X365" s="398"/>
      <c r="Y365" s="398"/>
      <c r="Z365" s="398"/>
      <c r="AA365" s="398"/>
      <c r="AB365" s="398"/>
      <c r="AC365" s="398"/>
      <c r="AD365" s="398"/>
      <c r="AE365" s="398"/>
      <c r="AF365" s="398"/>
      <c r="AG365" s="398"/>
      <c r="AH365" s="398"/>
      <c r="AI365" s="398"/>
    </row>
    <row r="366" spans="1:35">
      <c r="A366" s="398"/>
      <c r="B366" s="398"/>
      <c r="C366" s="398"/>
      <c r="D366" s="398"/>
      <c r="E366" s="398"/>
      <c r="F366" s="398"/>
      <c r="G366" s="398"/>
      <c r="H366" s="398"/>
      <c r="I366" s="398"/>
      <c r="J366" s="398"/>
      <c r="K366" s="398"/>
      <c r="L366" s="398"/>
      <c r="M366" s="398"/>
      <c r="N366" s="398"/>
      <c r="O366" s="398"/>
      <c r="P366" s="398"/>
      <c r="Q366" s="398"/>
      <c r="R366" s="398"/>
      <c r="S366" s="398"/>
      <c r="T366" s="398"/>
      <c r="U366" s="398"/>
      <c r="V366" s="398"/>
      <c r="W366" s="398"/>
      <c r="X366" s="398"/>
      <c r="Y366" s="398"/>
      <c r="Z366" s="398"/>
      <c r="AA366" s="398"/>
      <c r="AB366" s="398"/>
      <c r="AC366" s="398"/>
      <c r="AD366" s="398"/>
      <c r="AE366" s="398"/>
      <c r="AF366" s="398"/>
      <c r="AG366" s="398"/>
      <c r="AH366" s="398"/>
      <c r="AI366" s="398"/>
    </row>
    <row r="367" spans="1:35">
      <c r="A367" s="398"/>
      <c r="B367" s="398"/>
      <c r="C367" s="398"/>
      <c r="D367" s="398"/>
      <c r="E367" s="398"/>
      <c r="F367" s="398"/>
      <c r="G367" s="398"/>
      <c r="H367" s="398"/>
      <c r="I367" s="398"/>
      <c r="J367" s="398"/>
      <c r="K367" s="398"/>
      <c r="L367" s="398"/>
      <c r="M367" s="398"/>
      <c r="N367" s="398"/>
      <c r="O367" s="398"/>
      <c r="P367" s="398"/>
      <c r="Q367" s="398"/>
      <c r="R367" s="398"/>
      <c r="S367" s="398"/>
      <c r="T367" s="398"/>
      <c r="U367" s="398"/>
      <c r="V367" s="398"/>
      <c r="W367" s="398"/>
      <c r="X367" s="398"/>
      <c r="Y367" s="398"/>
      <c r="Z367" s="398"/>
      <c r="AA367" s="398"/>
      <c r="AB367" s="398"/>
      <c r="AC367" s="398"/>
      <c r="AD367" s="398"/>
      <c r="AE367" s="398"/>
      <c r="AF367" s="398"/>
      <c r="AG367" s="398"/>
      <c r="AH367" s="398"/>
      <c r="AI367" s="398"/>
    </row>
    <row r="368" spans="1:35">
      <c r="A368" s="398"/>
      <c r="B368" s="398"/>
      <c r="C368" s="398"/>
      <c r="D368" s="398"/>
      <c r="E368" s="398"/>
      <c r="F368" s="398"/>
      <c r="G368" s="398"/>
      <c r="H368" s="398"/>
      <c r="I368" s="398"/>
      <c r="J368" s="398"/>
      <c r="K368" s="398"/>
      <c r="L368" s="398"/>
      <c r="M368" s="398"/>
      <c r="N368" s="398"/>
      <c r="O368" s="398"/>
      <c r="P368" s="398"/>
      <c r="Q368" s="398"/>
      <c r="R368" s="398"/>
      <c r="S368" s="398"/>
      <c r="T368" s="398"/>
      <c r="U368" s="398"/>
      <c r="V368" s="398"/>
      <c r="W368" s="398"/>
      <c r="X368" s="398"/>
      <c r="Y368" s="398"/>
      <c r="Z368" s="398"/>
      <c r="AA368" s="398"/>
      <c r="AB368" s="398"/>
      <c r="AC368" s="398"/>
      <c r="AD368" s="398"/>
      <c r="AE368" s="398"/>
      <c r="AF368" s="398"/>
      <c r="AG368" s="398"/>
      <c r="AH368" s="398"/>
      <c r="AI368" s="398"/>
    </row>
    <row r="369" spans="1:35">
      <c r="A369" s="398"/>
      <c r="B369" s="398"/>
      <c r="C369" s="398"/>
      <c r="D369" s="398"/>
      <c r="E369" s="398"/>
      <c r="F369" s="398"/>
      <c r="G369" s="398"/>
      <c r="H369" s="398"/>
      <c r="I369" s="398"/>
      <c r="J369" s="398"/>
      <c r="K369" s="398"/>
      <c r="L369" s="398"/>
      <c r="M369" s="398"/>
      <c r="N369" s="398"/>
      <c r="O369" s="398"/>
      <c r="P369" s="398"/>
      <c r="Q369" s="398"/>
      <c r="R369" s="398"/>
      <c r="S369" s="398"/>
      <c r="T369" s="398"/>
      <c r="U369" s="398"/>
      <c r="V369" s="398"/>
      <c r="W369" s="398"/>
      <c r="X369" s="398"/>
      <c r="Y369" s="398"/>
      <c r="Z369" s="398"/>
      <c r="AA369" s="398"/>
      <c r="AB369" s="398"/>
      <c r="AC369" s="398"/>
      <c r="AD369" s="398"/>
      <c r="AE369" s="398"/>
      <c r="AF369" s="398"/>
      <c r="AG369" s="398"/>
      <c r="AH369" s="398"/>
      <c r="AI369" s="398"/>
    </row>
  </sheetData>
  <sheetProtection selectLockedCells="1" selectUnlockedCells="1"/>
  <mergeCells count="3">
    <mergeCell ref="R3:AC3"/>
    <mergeCell ref="I3:Q3"/>
    <mergeCell ref="B198:J198"/>
  </mergeCells>
  <conditionalFormatting sqref="I9:AC30 E10:E29 E72:E78 E80:E85 E89:E94 E96:E100 E102:E110 E113:E120 E122:E126 M69:AC71 E61 I68:L127 E68:E69 E63:E65 M68:Z68 M78:AC79 M72:Z77 M83:AC88 M80:Z82 M94:AC95 M89:Z93 M100:AC101 M96:Z99 M108:AC112 M102:Z107 M120:AC121 M113:Z119 M126:AC129 M122:Z125 I63:Z65 I61:Z61 H196:H197 G144 H143:H144 F128:L129">
    <cfRule type="colorScale" priority="75">
      <colorScale>
        <cfvo type="num" val="0"/>
        <cfvo type="num" val="10"/>
        <color rgb="FFFFEF9C"/>
        <color rgb="FF63BE7B"/>
      </colorScale>
    </cfRule>
  </conditionalFormatting>
  <conditionalFormatting sqref="I29:AC29">
    <cfRule type="colorScale" priority="70">
      <colorScale>
        <cfvo type="min"/>
        <cfvo type="percentile" val="50"/>
        <cfvo type="max"/>
        <color rgb="FFF8696B"/>
        <color rgb="FFFFEB84"/>
        <color rgb="FF5A8AC6"/>
      </colorScale>
    </cfRule>
  </conditionalFormatting>
  <conditionalFormatting sqref="I11:AC26">
    <cfRule type="colorScale" priority="69">
      <colorScale>
        <cfvo type="min"/>
        <cfvo type="max"/>
        <color rgb="FFFFEF9C"/>
        <color rgb="FFFF7128"/>
      </colorScale>
    </cfRule>
  </conditionalFormatting>
  <conditionalFormatting sqref="I5:AC5">
    <cfRule type="colorScale" priority="58">
      <colorScale>
        <cfvo type="num" val="0"/>
        <cfvo type="num" val="10"/>
        <color rgb="FFFFEF9C"/>
        <color rgb="FF63BE7B"/>
      </colorScale>
    </cfRule>
  </conditionalFormatting>
  <conditionalFormatting sqref="E6:E8 I6:AC7">
    <cfRule type="colorScale" priority="57">
      <colorScale>
        <cfvo type="num" val="0"/>
        <cfvo type="num" val="10"/>
        <color rgb="FFFFEF9C"/>
        <color rgb="FF63BE7B"/>
      </colorScale>
    </cfRule>
  </conditionalFormatting>
  <conditionalFormatting sqref="I6:AC7">
    <cfRule type="colorScale" priority="56">
      <colorScale>
        <cfvo type="min"/>
        <cfvo type="max"/>
        <color rgb="FFFFEF9C"/>
        <color rgb="FFFF7128"/>
      </colorScale>
    </cfRule>
  </conditionalFormatting>
  <conditionalFormatting sqref="I8:AC8">
    <cfRule type="colorScale" priority="55">
      <colorScale>
        <cfvo type="num" val="0"/>
        <cfvo type="num" val="10"/>
        <color rgb="FFFFEF9C"/>
        <color rgb="FF63BE7B"/>
      </colorScale>
    </cfRule>
  </conditionalFormatting>
  <conditionalFormatting sqref="I8:AC8">
    <cfRule type="colorScale" priority="54">
      <colorScale>
        <cfvo type="min"/>
        <cfvo type="max"/>
        <color rgb="FFFFEF9C"/>
        <color rgb="FFFF7128"/>
      </colorScale>
    </cfRule>
  </conditionalFormatting>
  <conditionalFormatting sqref="I62:Z62 E62">
    <cfRule type="colorScale" priority="53">
      <colorScale>
        <cfvo type="num" val="0"/>
        <cfvo type="num" val="10"/>
        <color rgb="FFFFEF9C"/>
        <color rgb="FF63BE7B"/>
      </colorScale>
    </cfRule>
  </conditionalFormatting>
  <conditionalFormatting sqref="I66:Z66 E66">
    <cfRule type="colorScale" priority="51">
      <colorScale>
        <cfvo type="num" val="0"/>
        <cfvo type="num" val="10"/>
        <color rgb="FFFFEF9C"/>
        <color rgb="FF63BE7B"/>
      </colorScale>
    </cfRule>
  </conditionalFormatting>
  <conditionalFormatting sqref="I67:Z67 E67">
    <cfRule type="colorScale" priority="49">
      <colorScale>
        <cfvo type="num" val="0"/>
        <cfvo type="num" val="10"/>
        <color rgb="FFFFEF9C"/>
        <color rgb="FF63BE7B"/>
      </colorScale>
    </cfRule>
  </conditionalFormatting>
  <conditionalFormatting sqref="I32:AC34 E57:E58 I52:AC54 I46:AC47 I39:AC41 I57:AC58">
    <cfRule type="colorScale" priority="47">
      <colorScale>
        <cfvo type="num" val="0"/>
        <cfvo type="num" val="10"/>
        <color rgb="FFFFEF9C"/>
        <color rgb="FF63BE7B"/>
      </colorScale>
    </cfRule>
  </conditionalFormatting>
  <conditionalFormatting sqref="AA57:AC58">
    <cfRule type="colorScale" priority="84">
      <colorScale>
        <cfvo type="min"/>
        <cfvo type="max"/>
        <color rgb="FFFFEF9C"/>
        <color rgb="FFFF7128"/>
      </colorScale>
    </cfRule>
  </conditionalFormatting>
  <conditionalFormatting sqref="I59:AC59">
    <cfRule type="colorScale" priority="45">
      <colorScale>
        <cfvo type="num" val="0"/>
        <cfvo type="num" val="10"/>
        <color rgb="FFFFEF9C"/>
        <color rgb="FF63BE7B"/>
      </colorScale>
    </cfRule>
  </conditionalFormatting>
  <conditionalFormatting sqref="E55:E56 I55:AC56">
    <cfRule type="colorScale" priority="43">
      <colorScale>
        <cfvo type="num" val="0"/>
        <cfvo type="num" val="10"/>
        <color rgb="FFFFEF9C"/>
        <color rgb="FF63BE7B"/>
      </colorScale>
    </cfRule>
  </conditionalFormatting>
  <conditionalFormatting sqref="AA55:AC56">
    <cfRule type="colorScale" priority="44">
      <colorScale>
        <cfvo type="min"/>
        <cfvo type="max"/>
        <color rgb="FFFFEF9C"/>
        <color rgb="FFFF7128"/>
      </colorScale>
    </cfRule>
  </conditionalFormatting>
  <conditionalFormatting sqref="E48:E51 AA48:AC51">
    <cfRule type="colorScale" priority="41">
      <colorScale>
        <cfvo type="num" val="0"/>
        <cfvo type="num" val="10"/>
        <color rgb="FFFFEF9C"/>
        <color rgb="FF63BE7B"/>
      </colorScale>
    </cfRule>
  </conditionalFormatting>
  <conditionalFormatting sqref="AA48:AC51">
    <cfRule type="colorScale" priority="42">
      <colorScale>
        <cfvo type="min"/>
        <cfvo type="max"/>
        <color rgb="FFFFEF9C"/>
        <color rgb="FFFF7128"/>
      </colorScale>
    </cfRule>
  </conditionalFormatting>
  <conditionalFormatting sqref="E42:E45 AA42:AC45">
    <cfRule type="colorScale" priority="39">
      <colorScale>
        <cfvo type="num" val="0"/>
        <cfvo type="num" val="10"/>
        <color rgb="FFFFEF9C"/>
        <color rgb="FF63BE7B"/>
      </colorScale>
    </cfRule>
  </conditionalFormatting>
  <conditionalFormatting sqref="AA42:AC45">
    <cfRule type="colorScale" priority="40">
      <colorScale>
        <cfvo type="min"/>
        <cfvo type="max"/>
        <color rgb="FFFFEF9C"/>
        <color rgb="FFFF7128"/>
      </colorScale>
    </cfRule>
  </conditionalFormatting>
  <conditionalFormatting sqref="E35:E38 AA35:AC38">
    <cfRule type="colorScale" priority="37">
      <colorScale>
        <cfvo type="num" val="0"/>
        <cfvo type="num" val="10"/>
        <color rgb="FFFFEF9C"/>
        <color rgb="FF63BE7B"/>
      </colorScale>
    </cfRule>
  </conditionalFormatting>
  <conditionalFormatting sqref="AA35:AC38">
    <cfRule type="colorScale" priority="38">
      <colorScale>
        <cfvo type="min"/>
        <cfvo type="max"/>
        <color rgb="FFFFEF9C"/>
        <color rgb="FFFF7128"/>
      </colorScale>
    </cfRule>
  </conditionalFormatting>
  <conditionalFormatting sqref="I45:Z45">
    <cfRule type="colorScale" priority="36">
      <colorScale>
        <cfvo type="num" val="0"/>
        <cfvo type="num" val="10"/>
        <color rgb="FFFFEF9C"/>
        <color rgb="FF63BE7B"/>
      </colorScale>
    </cfRule>
  </conditionalFormatting>
  <conditionalFormatting sqref="AA61:AC68">
    <cfRule type="colorScale" priority="33">
      <colorScale>
        <cfvo type="num" val="0"/>
        <cfvo type="num" val="10"/>
        <color rgb="FFFFEF9C"/>
        <color rgb="FF63BE7B"/>
      </colorScale>
    </cfRule>
  </conditionalFormatting>
  <conditionalFormatting sqref="AA61:AC68">
    <cfRule type="colorScale" priority="34">
      <colorScale>
        <cfvo type="min"/>
        <cfvo type="max"/>
        <color rgb="FFFFEF9C"/>
        <color rgb="FFFF7128"/>
      </colorScale>
    </cfRule>
  </conditionalFormatting>
  <conditionalFormatting sqref="AA72:AC77">
    <cfRule type="colorScale" priority="31">
      <colorScale>
        <cfvo type="num" val="0"/>
        <cfvo type="num" val="10"/>
        <color rgb="FFFFEF9C"/>
        <color rgb="FF63BE7B"/>
      </colorScale>
    </cfRule>
  </conditionalFormatting>
  <conditionalFormatting sqref="AA72:AC77">
    <cfRule type="colorScale" priority="32">
      <colorScale>
        <cfvo type="min"/>
        <cfvo type="max"/>
        <color rgb="FFFFEF9C"/>
        <color rgb="FFFF7128"/>
      </colorScale>
    </cfRule>
  </conditionalFormatting>
  <conditionalFormatting sqref="AA80:AC82">
    <cfRule type="colorScale" priority="29">
      <colorScale>
        <cfvo type="num" val="0"/>
        <cfvo type="num" val="10"/>
        <color rgb="FFFFEF9C"/>
        <color rgb="FF63BE7B"/>
      </colorScale>
    </cfRule>
  </conditionalFormatting>
  <conditionalFormatting sqref="AA80:AC82">
    <cfRule type="colorScale" priority="30">
      <colorScale>
        <cfvo type="min"/>
        <cfvo type="max"/>
        <color rgb="FFFFEF9C"/>
        <color rgb="FFFF7128"/>
      </colorScale>
    </cfRule>
  </conditionalFormatting>
  <conditionalFormatting sqref="AA89:AC93">
    <cfRule type="colorScale" priority="27">
      <colorScale>
        <cfvo type="num" val="0"/>
        <cfvo type="num" val="10"/>
        <color rgb="FFFFEF9C"/>
        <color rgb="FF63BE7B"/>
      </colorScale>
    </cfRule>
  </conditionalFormatting>
  <conditionalFormatting sqref="AA89:AC93">
    <cfRule type="colorScale" priority="28">
      <colorScale>
        <cfvo type="min"/>
        <cfvo type="max"/>
        <color rgb="FFFFEF9C"/>
        <color rgb="FFFF7128"/>
      </colorScale>
    </cfRule>
  </conditionalFormatting>
  <conditionalFormatting sqref="AA96:AC99">
    <cfRule type="colorScale" priority="25">
      <colorScale>
        <cfvo type="num" val="0"/>
        <cfvo type="num" val="10"/>
        <color rgb="FFFFEF9C"/>
        <color rgb="FF63BE7B"/>
      </colorScale>
    </cfRule>
  </conditionalFormatting>
  <conditionalFormatting sqref="AA96:AC99">
    <cfRule type="colorScale" priority="26">
      <colorScale>
        <cfvo type="min"/>
        <cfvo type="max"/>
        <color rgb="FFFFEF9C"/>
        <color rgb="FFFF7128"/>
      </colorScale>
    </cfRule>
  </conditionalFormatting>
  <conditionalFormatting sqref="AA102:AC107">
    <cfRule type="colorScale" priority="23">
      <colorScale>
        <cfvo type="num" val="0"/>
        <cfvo type="num" val="10"/>
        <color rgb="FFFFEF9C"/>
        <color rgb="FF63BE7B"/>
      </colorScale>
    </cfRule>
  </conditionalFormatting>
  <conditionalFormatting sqref="AA102:AC107">
    <cfRule type="colorScale" priority="24">
      <colorScale>
        <cfvo type="min"/>
        <cfvo type="max"/>
        <color rgb="FFFFEF9C"/>
        <color rgb="FFFF7128"/>
      </colorScale>
    </cfRule>
  </conditionalFormatting>
  <conditionalFormatting sqref="AA113:AC119">
    <cfRule type="colorScale" priority="21">
      <colorScale>
        <cfvo type="num" val="0"/>
        <cfvo type="num" val="10"/>
        <color rgb="FFFFEF9C"/>
        <color rgb="FF63BE7B"/>
      </colorScale>
    </cfRule>
  </conditionalFormatting>
  <conditionalFormatting sqref="AA113:AC119">
    <cfRule type="colorScale" priority="22">
      <colorScale>
        <cfvo type="min"/>
        <cfvo type="max"/>
        <color rgb="FFFFEF9C"/>
        <color rgb="FFFF7128"/>
      </colorScale>
    </cfRule>
  </conditionalFormatting>
  <conditionalFormatting sqref="AA122:AC125">
    <cfRule type="colorScale" priority="19">
      <colorScale>
        <cfvo type="num" val="0"/>
        <cfvo type="num" val="10"/>
        <color rgb="FFFFEF9C"/>
        <color rgb="FF63BE7B"/>
      </colorScale>
    </cfRule>
  </conditionalFormatting>
  <conditionalFormatting sqref="AA122:AC125">
    <cfRule type="colorScale" priority="20">
      <colorScale>
        <cfvo type="min"/>
        <cfvo type="max"/>
        <color rgb="FFFFEF9C"/>
        <color rgb="FFFF7128"/>
      </colorScale>
    </cfRule>
  </conditionalFormatting>
  <conditionalFormatting sqref="I42:Z42">
    <cfRule type="colorScale" priority="18">
      <colorScale>
        <cfvo type="num" val="0"/>
        <cfvo type="num" val="10"/>
        <color rgb="FFFFEF9C"/>
        <color rgb="FF63BE7B"/>
      </colorScale>
    </cfRule>
  </conditionalFormatting>
  <conditionalFormatting sqref="I44:Z44">
    <cfRule type="colorScale" priority="17">
      <colorScale>
        <cfvo type="num" val="0"/>
        <cfvo type="num" val="10"/>
        <color rgb="FFFFEF9C"/>
        <color rgb="FF63BE7B"/>
      </colorScale>
    </cfRule>
  </conditionalFormatting>
  <conditionalFormatting sqref="I43:Z43">
    <cfRule type="colorScale" priority="16">
      <colorScale>
        <cfvo type="num" val="0"/>
        <cfvo type="num" val="10"/>
        <color rgb="FFFFEF9C"/>
        <color rgb="FF63BE7B"/>
      </colorScale>
    </cfRule>
  </conditionalFormatting>
  <conditionalFormatting sqref="I48:Z51">
    <cfRule type="colorScale" priority="15">
      <colorScale>
        <cfvo type="num" val="0"/>
        <cfvo type="num" val="10"/>
        <color rgb="FFFFEF9C"/>
        <color rgb="FF63BE7B"/>
      </colorScale>
    </cfRule>
  </conditionalFormatting>
  <conditionalFormatting sqref="I35:Z38">
    <cfRule type="colorScale" priority="14">
      <colorScale>
        <cfvo type="num" val="0"/>
        <cfvo type="num" val="10"/>
        <color rgb="FFFFEF9C"/>
        <color rgb="FF63BE7B"/>
      </colorScale>
    </cfRule>
  </conditionalFormatting>
  <conditionalFormatting sqref="I143:AC143 E143 G143">
    <cfRule type="colorScale" priority="13">
      <colorScale>
        <cfvo type="num" val="0"/>
        <cfvo type="num" val="10"/>
        <color rgb="FFFFEF9C"/>
        <color rgb="FF63BE7B"/>
      </colorScale>
    </cfRule>
  </conditionalFormatting>
  <conditionalFormatting sqref="E128">
    <cfRule type="colorScale" priority="12">
      <colorScale>
        <cfvo type="num" val="0"/>
        <cfvo type="num" val="10"/>
        <color rgb="FFFFEF9C"/>
        <color rgb="FF63BE7B"/>
      </colorScale>
    </cfRule>
  </conditionalFormatting>
  <conditionalFormatting sqref="F143">
    <cfRule type="colorScale" priority="11">
      <colorScale>
        <cfvo type="num" val="0"/>
        <cfvo type="num" val="10"/>
        <color rgb="FFFFEF9C"/>
        <color rgb="FF63BE7B"/>
      </colorScale>
    </cfRule>
  </conditionalFormatting>
  <conditionalFormatting sqref="I183:Z183">
    <cfRule type="colorScale" priority="7">
      <colorScale>
        <cfvo type="min"/>
        <cfvo type="percentile" val="50"/>
        <cfvo type="max"/>
        <color rgb="FFF8696B"/>
        <color rgb="FFFFEB84"/>
        <color rgb="FF63BE7B"/>
      </colorScale>
    </cfRule>
  </conditionalFormatting>
  <conditionalFormatting sqref="I145:AB148">
    <cfRule type="colorScale" priority="4">
      <colorScale>
        <cfvo type="min"/>
        <cfvo type="max"/>
        <color rgb="FFFCFCFF"/>
        <color rgb="FFF8696B"/>
      </colorScale>
    </cfRule>
  </conditionalFormatting>
  <conditionalFormatting sqref="I151:AB154">
    <cfRule type="colorScale" priority="5">
      <colorScale>
        <cfvo type="min"/>
        <cfvo type="max"/>
        <color rgb="FFFCFCFF"/>
        <color rgb="FF63BE7B"/>
      </colorScale>
    </cfRule>
  </conditionalFormatting>
  <conditionalFormatting sqref="I149:AB149">
    <cfRule type="colorScale" priority="3">
      <colorScale>
        <cfvo type="min"/>
        <cfvo type="max"/>
        <color rgb="FFFCFCFF"/>
        <color rgb="FFF8696B"/>
      </colorScale>
    </cfRule>
  </conditionalFormatting>
  <conditionalFormatting sqref="I155:Z155">
    <cfRule type="colorScale" priority="2">
      <colorScale>
        <cfvo type="min"/>
        <cfvo type="max"/>
        <color rgb="FFFCFCFF"/>
        <color rgb="FF63BE7B"/>
      </colorScale>
    </cfRule>
  </conditionalFormatting>
  <conditionalFormatting sqref="I190:AB193">
    <cfRule type="colorScale" priority="1">
      <colorScale>
        <cfvo type="min"/>
        <cfvo type="max"/>
        <color rgb="FFFCFCFF"/>
        <color rgb="FF63BE7B"/>
      </colorScale>
    </cfRule>
  </conditionalFormatting>
  <hyperlinks>
    <hyperlink ref="B198" r:id="rId1" display="© Copyright, 2007, Hall Consulting &amp; Research LLC, All Rights Reserved.  www.hallcr.com" xr:uid="{00000000-0004-0000-1000-000000000000}"/>
  </hyperlinks>
  <pageMargins left="0.7" right="0.7" top="0.75" bottom="0.75" header="0.3" footer="0.3"/>
  <pageSetup orientation="portrait" horizontalDpi="300" verticalDpi="30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7">
    <tabColor theme="1"/>
    <outlinePr summaryBelow="0" summaryRight="0"/>
  </sheetPr>
  <dimension ref="A1:N102"/>
  <sheetViews>
    <sheetView workbookViewId="0" xr3:uid="{CF366857-BBDD-5199-9BC9-FF52903B0715}">
      <selection activeCell="C56" sqref="C56"/>
    </sheetView>
  </sheetViews>
  <sheetFormatPr defaultRowHeight="12.75" outlineLevelRow="1"/>
  <cols>
    <col min="1" max="1" width="3.5703125" style="408" customWidth="1"/>
    <col min="2" max="2" width="4.5703125" style="408" customWidth="1"/>
    <col min="3" max="3" width="7.42578125" style="408" customWidth="1"/>
    <col min="4" max="4" width="38" style="408" customWidth="1"/>
    <col min="5" max="6" width="14.28515625" style="408" customWidth="1"/>
    <col min="7" max="7" width="25.5703125" style="408" customWidth="1"/>
    <col min="8" max="11" width="9.85546875" style="408" customWidth="1"/>
    <col min="12" max="12" width="5.28515625" style="408" customWidth="1"/>
    <col min="13" max="13" width="10.5703125" style="408" customWidth="1"/>
    <col min="14" max="15" width="5.28515625" style="408" customWidth="1"/>
    <col min="16" max="18" width="6.5703125" style="408" customWidth="1"/>
    <col min="19" max="16384" width="9.140625" style="408"/>
  </cols>
  <sheetData>
    <row r="1" spans="1:14" ht="22.5">
      <c r="A1" s="421" t="s">
        <v>1242</v>
      </c>
      <c r="B1" s="641"/>
      <c r="C1" s="641"/>
      <c r="D1" s="641"/>
      <c r="E1" s="641"/>
      <c r="F1" s="641"/>
      <c r="G1" s="641"/>
      <c r="H1" s="641"/>
      <c r="I1" s="641"/>
      <c r="J1" s="641"/>
      <c r="K1" s="641"/>
      <c r="L1" s="641"/>
      <c r="M1" s="641"/>
      <c r="N1" s="641"/>
    </row>
    <row r="2" spans="1:14" s="531" customFormat="1" ht="22.5">
      <c r="A2" s="421"/>
      <c r="B2" s="641" t="s">
        <v>1243</v>
      </c>
      <c r="C2" s="641"/>
      <c r="D2" s="641"/>
      <c r="E2" s="641"/>
      <c r="F2" s="641"/>
      <c r="G2" s="641"/>
      <c r="H2" s="641"/>
      <c r="I2" s="641"/>
      <c r="J2" s="641"/>
      <c r="K2" s="641"/>
      <c r="L2" s="641"/>
      <c r="M2" s="641"/>
      <c r="N2" s="641"/>
    </row>
    <row r="3" spans="1:14" ht="27">
      <c r="A3" s="4" t="s">
        <v>1244</v>
      </c>
      <c r="B3" s="4"/>
      <c r="C3" s="4"/>
      <c r="D3" s="4"/>
      <c r="E3" s="4"/>
      <c r="F3" s="4"/>
      <c r="G3" s="4"/>
      <c r="H3" s="4"/>
      <c r="I3" s="4"/>
      <c r="J3" s="4"/>
      <c r="K3" s="4"/>
      <c r="L3" s="4"/>
      <c r="M3" s="4"/>
      <c r="N3" s="4"/>
    </row>
    <row r="4" spans="1:14" outlineLevel="1">
      <c r="A4" s="641"/>
      <c r="B4" s="641"/>
      <c r="C4" s="409" t="s">
        <v>743</v>
      </c>
      <c r="D4" s="636">
        <f ca="1">NOW()</f>
        <v>43264.774788194445</v>
      </c>
      <c r="E4" s="641"/>
      <c r="F4" s="641"/>
      <c r="G4" s="641"/>
      <c r="H4" s="641"/>
      <c r="I4" s="641"/>
      <c r="J4" s="641"/>
      <c r="K4" s="641"/>
      <c r="L4" s="641"/>
      <c r="M4" s="641"/>
      <c r="N4" s="641"/>
    </row>
    <row r="5" spans="1:14" outlineLevel="1">
      <c r="A5" s="641"/>
      <c r="B5" s="641"/>
      <c r="C5" s="641"/>
      <c r="D5" s="641" t="str">
        <f ca="1">"Date Prepared: " &amp; TEXT(rpt_DatePrep,"mmm dd, yyyy  hh:mm am/pm")</f>
        <v>Date Prepared: Jun 13, 2018  06:35 PM</v>
      </c>
      <c r="E5" s="641"/>
      <c r="F5" s="641"/>
      <c r="G5" s="641"/>
      <c r="H5" s="641"/>
      <c r="I5" s="641"/>
      <c r="J5" s="641"/>
      <c r="K5" s="641"/>
      <c r="L5" s="641"/>
      <c r="M5" s="641"/>
      <c r="N5" s="641"/>
    </row>
    <row r="6" spans="1:14" outlineLevel="1">
      <c r="A6" s="641"/>
      <c r="B6" s="641"/>
      <c r="C6" s="409" t="s">
        <v>1245</v>
      </c>
      <c r="D6" s="641" t="str">
        <f>rpt_OrgName&amp;CHAR(10)&amp;rpt_ProjectName&amp;CHAR(10)&amp;"Business Case Report"&amp;CHAR(10)</f>
        <v xml:space="preserve">CompanyName
Data Center / Server
Business Case Report
</v>
      </c>
      <c r="E6" s="641"/>
      <c r="F6" s="641"/>
      <c r="G6" s="641"/>
      <c r="H6" s="641"/>
      <c r="I6" s="641"/>
      <c r="J6" s="641"/>
      <c r="K6" s="641"/>
      <c r="L6" s="641"/>
      <c r="M6" s="641"/>
      <c r="N6" s="641"/>
    </row>
    <row r="7" spans="1:14" ht="22.5" outlineLevel="1">
      <c r="A7" s="641"/>
      <c r="B7" s="3" t="s">
        <v>767</v>
      </c>
      <c r="C7" s="641"/>
      <c r="D7" s="641"/>
      <c r="E7" s="641"/>
      <c r="F7" s="641"/>
      <c r="G7" s="641"/>
      <c r="H7" s="641"/>
      <c r="I7" s="641"/>
      <c r="J7" s="641"/>
      <c r="K7" s="641"/>
      <c r="L7" s="641"/>
      <c r="M7" s="641"/>
      <c r="N7" s="641"/>
    </row>
    <row r="8" spans="1:14" outlineLevel="1">
      <c r="A8" s="641"/>
      <c r="B8" s="641"/>
      <c r="C8" s="641"/>
      <c r="D8" s="410" t="s">
        <v>1246</v>
      </c>
      <c r="E8" s="411" t="s">
        <v>1247</v>
      </c>
      <c r="F8" s="641"/>
      <c r="G8" s="641"/>
      <c r="H8" s="641"/>
      <c r="I8" s="641"/>
      <c r="J8" s="641"/>
      <c r="K8" s="641"/>
      <c r="L8" s="641"/>
      <c r="M8" s="641"/>
      <c r="N8" s="641"/>
    </row>
    <row r="9" spans="1:14" outlineLevel="1">
      <c r="A9" s="641"/>
      <c r="B9" s="641"/>
      <c r="C9" s="641"/>
      <c r="D9" s="410" t="s">
        <v>1248</v>
      </c>
      <c r="E9" s="411" t="s">
        <v>1249</v>
      </c>
      <c r="F9" s="641"/>
      <c r="G9" s="641"/>
      <c r="H9" s="641"/>
      <c r="I9" s="641"/>
      <c r="J9" s="641"/>
      <c r="K9" s="641"/>
      <c r="L9" s="641"/>
      <c r="M9" s="641"/>
      <c r="N9" s="641"/>
    </row>
    <row r="10" spans="1:14" outlineLevel="1">
      <c r="A10" s="641"/>
      <c r="B10" s="641"/>
      <c r="C10" s="641"/>
      <c r="D10" s="410" t="s">
        <v>1250</v>
      </c>
      <c r="E10" s="411" t="s">
        <v>1251</v>
      </c>
      <c r="F10" s="641"/>
      <c r="G10" s="641"/>
      <c r="H10" s="641"/>
      <c r="I10" s="641"/>
      <c r="J10" s="641"/>
      <c r="K10" s="641"/>
      <c r="L10" s="641"/>
      <c r="M10" s="641"/>
      <c r="N10" s="641"/>
    </row>
    <row r="11" spans="1:14" outlineLevel="1">
      <c r="A11" s="641"/>
      <c r="B11" s="641"/>
      <c r="C11" s="641"/>
      <c r="D11" s="410" t="s">
        <v>1252</v>
      </c>
      <c r="E11" s="412" t="str">
        <f>"{"&amp;E8&amp;":"&amp;E9&amp;"!"&amp;E10&amp;"}"</f>
        <v>{Cell:Rpt Content!CashFlowBullets}</v>
      </c>
      <c r="F11" s="641"/>
      <c r="G11" s="641"/>
      <c r="H11" s="641"/>
      <c r="I11" s="641"/>
      <c r="J11" s="641"/>
      <c r="K11" s="641"/>
      <c r="L11" s="641"/>
      <c r="M11" s="641"/>
      <c r="N11" s="641"/>
    </row>
    <row r="12" spans="1:14" outlineLevel="1">
      <c r="A12" s="641"/>
      <c r="B12" s="641"/>
      <c r="C12" s="641"/>
      <c r="D12" s="641"/>
      <c r="E12" s="641"/>
      <c r="F12" s="641"/>
      <c r="G12" s="641"/>
      <c r="H12" s="641"/>
      <c r="I12" s="641"/>
      <c r="J12" s="641"/>
      <c r="K12" s="641"/>
      <c r="L12" s="641"/>
      <c r="M12" s="641"/>
      <c r="N12" s="641"/>
    </row>
    <row r="13" spans="1:14" outlineLevel="1">
      <c r="A13" s="641"/>
      <c r="B13" s="641"/>
      <c r="C13" s="641" t="s">
        <v>1253</v>
      </c>
      <c r="D13" s="641"/>
      <c r="E13" s="641"/>
      <c r="F13" s="641"/>
      <c r="G13" s="641"/>
      <c r="H13" s="641"/>
      <c r="I13" s="641"/>
      <c r="J13" s="641"/>
      <c r="K13" s="641"/>
      <c r="L13" s="641"/>
      <c r="M13" s="641"/>
      <c r="N13" s="641"/>
    </row>
    <row r="14" spans="1:14" ht="25.5" outlineLevel="1">
      <c r="A14" s="641"/>
      <c r="B14" s="641"/>
      <c r="C14" s="661" t="s">
        <v>1254</v>
      </c>
      <c r="D14" s="661" t="s">
        <v>1255</v>
      </c>
      <c r="E14" s="661" t="s">
        <v>1256</v>
      </c>
      <c r="F14" s="661" t="s">
        <v>1257</v>
      </c>
      <c r="G14" s="661" t="s">
        <v>1258</v>
      </c>
      <c r="H14" s="641"/>
      <c r="I14" s="641"/>
      <c r="J14" s="641"/>
      <c r="K14" s="641"/>
      <c r="L14" s="641"/>
      <c r="M14" s="641"/>
      <c r="N14" s="641"/>
    </row>
    <row r="15" spans="1:14" outlineLevel="1">
      <c r="A15" s="641"/>
      <c r="B15" s="641"/>
      <c r="C15" s="413" t="s">
        <v>1259</v>
      </c>
      <c r="D15" s="413" t="str">
        <f>ROI!D103</f>
        <v>Deployment Duration (Months)</v>
      </c>
      <c r="E15" s="414" t="str">
        <f>TEXT(ROI!E103,"0.0")</f>
        <v>6.0</v>
      </c>
      <c r="F15" s="413" t="s">
        <v>721</v>
      </c>
      <c r="G15" s="415" t="str">
        <f t="shared" ref="G15:G20" si="0">C15&amp;D15&amp;":  " &amp;E15&amp;IF(F15="y",CHAR(10),)</f>
        <v xml:space="preserve">&gt;Deployment Duration (Months):  6.0
</v>
      </c>
      <c r="H15" s="641"/>
      <c r="I15" s="641"/>
      <c r="J15" s="641"/>
      <c r="K15" s="641"/>
      <c r="L15" s="641"/>
      <c r="M15" s="641"/>
      <c r="N15" s="641"/>
    </row>
    <row r="16" spans="1:14" ht="25.5" outlineLevel="1">
      <c r="A16" s="641"/>
      <c r="B16" s="641"/>
      <c r="C16" s="413" t="s">
        <v>1259</v>
      </c>
      <c r="D16" s="413" t="str">
        <f>ROI!D104</f>
        <v>Project Duration (Years) - not including deployment</v>
      </c>
      <c r="E16" s="414" t="str">
        <f>TEXT(ROI!E104,"0.0")</f>
        <v>5.0</v>
      </c>
      <c r="F16" s="413" t="s">
        <v>721</v>
      </c>
      <c r="G16" s="415" t="str">
        <f t="shared" si="0"/>
        <v xml:space="preserve">&gt;Project Duration (Years) - not including deployment:  5.0
</v>
      </c>
      <c r="H16" s="641"/>
      <c r="I16" s="641"/>
      <c r="J16" s="641"/>
      <c r="K16" s="641"/>
      <c r="L16" s="641"/>
      <c r="M16" s="641"/>
      <c r="N16" s="641"/>
    </row>
    <row r="17" spans="2:8" ht="25.5" outlineLevel="1">
      <c r="B17" s="641"/>
      <c r="C17" s="413" t="s">
        <v>1259</v>
      </c>
      <c r="D17" s="413" t="str">
        <f>ROI!D105</f>
        <v>Payback Date</v>
      </c>
      <c r="E17" s="416" t="str">
        <f>TEXT(ROI!E105,"mmmm d, yyyy")</f>
        <v>August 15, 2020</v>
      </c>
      <c r="F17" s="413" t="s">
        <v>721</v>
      </c>
      <c r="G17" s="415" t="str">
        <f t="shared" si="0"/>
        <v xml:space="preserve">&gt;Payback Date:  August 15, 2020
</v>
      </c>
      <c r="H17" s="641"/>
    </row>
    <row r="18" spans="2:8" outlineLevel="1">
      <c r="B18" s="641"/>
      <c r="C18" s="413" t="s">
        <v>1259</v>
      </c>
      <c r="D18" s="413" t="str">
        <f>ROI!D106</f>
        <v>Payback Period (from start of benefits)</v>
      </c>
      <c r="E18" s="414" t="str">
        <f>TEXT(ROI!E106,"0.0")</f>
        <v>5.5</v>
      </c>
      <c r="F18" s="413" t="s">
        <v>721</v>
      </c>
      <c r="G18" s="415" t="str">
        <f t="shared" si="0"/>
        <v xml:space="preserve">&gt;Payback Period (from start of benefits):  5.5
</v>
      </c>
      <c r="H18" s="641"/>
    </row>
    <row r="19" spans="2:8" outlineLevel="1">
      <c r="B19" s="641"/>
      <c r="C19" s="413" t="s">
        <v>1259</v>
      </c>
      <c r="D19" s="413" t="str">
        <f>ROI!D107</f>
        <v>Payback Period (from start of deployment)</v>
      </c>
      <c r="E19" s="414" t="str">
        <f>TEXT(ROI!E107,"0.0")</f>
        <v>6.0</v>
      </c>
      <c r="F19" s="413" t="s">
        <v>721</v>
      </c>
      <c r="G19" s="415" t="str">
        <f t="shared" si="0"/>
        <v xml:space="preserve">&gt;Payback Period (from start of deployment):  6.0
</v>
      </c>
      <c r="H19" s="641"/>
    </row>
    <row r="20" spans="2:8" outlineLevel="1">
      <c r="B20" s="641"/>
      <c r="C20" s="413" t="s">
        <v>1259</v>
      </c>
      <c r="D20" s="413" t="str">
        <f>ROI!D108</f>
        <v>Growth Rate (of costs and benefits)</v>
      </c>
      <c r="E20" s="414" t="str">
        <f>TEXT(ROI!E108,"0.0%")</f>
        <v>0.0%</v>
      </c>
      <c r="F20" s="413"/>
      <c r="G20" s="415" t="str">
        <f t="shared" si="0"/>
        <v>&gt;Growth Rate (of costs and benefits):  0.0%</v>
      </c>
      <c r="H20" s="641"/>
    </row>
    <row r="21" spans="2:8" ht="13.5" outlineLevel="1" thickBot="1">
      <c r="B21" s="641"/>
      <c r="C21" s="641"/>
      <c r="D21" s="641"/>
      <c r="E21" s="641"/>
      <c r="F21" s="641"/>
      <c r="G21" s="641"/>
      <c r="H21" s="641"/>
    </row>
    <row r="22" spans="2:8" ht="84" customHeight="1" outlineLevel="1" thickTop="1">
      <c r="B22" s="641"/>
      <c r="C22" s="422" t="s">
        <v>1260</v>
      </c>
      <c r="D22" s="882" t="str">
        <f>CONCATENATE(G15,G16,G17,G18,G19,G20)</f>
        <v>&gt;Deployment Duration (Months):  6.0
&gt;Project Duration (Years) - not including deployment:  5.0
&gt;Payback Date:  August 15, 2020
&gt;Payback Period (from start of benefits):  5.5
&gt;Payback Period (from start of deployment):  6.0
&gt;Growth Rate (of costs and benefits):  0.0%</v>
      </c>
      <c r="E22" s="882"/>
      <c r="F22" s="882"/>
      <c r="G22" s="882"/>
      <c r="H22" s="641" t="s">
        <v>1261</v>
      </c>
    </row>
    <row r="23" spans="2:8" outlineLevel="1">
      <c r="B23" s="641"/>
      <c r="C23" s="641"/>
      <c r="D23" s="641"/>
      <c r="E23" s="641"/>
      <c r="F23" s="641"/>
      <c r="G23" s="641"/>
      <c r="H23" s="641"/>
    </row>
    <row r="24" spans="2:8" outlineLevel="1">
      <c r="B24" s="641"/>
      <c r="C24" s="641"/>
      <c r="D24" s="641"/>
      <c r="E24" s="641"/>
      <c r="F24" s="641"/>
      <c r="G24" s="641"/>
      <c r="H24" s="641"/>
    </row>
    <row r="25" spans="2:8" ht="22.5" outlineLevel="1">
      <c r="B25" s="3" t="s">
        <v>1262</v>
      </c>
      <c r="C25" s="641"/>
      <c r="D25" s="641"/>
      <c r="E25" s="641"/>
      <c r="F25" s="641"/>
      <c r="G25" s="641"/>
      <c r="H25" s="641"/>
    </row>
    <row r="26" spans="2:8" outlineLevel="1">
      <c r="B26" s="641"/>
      <c r="C26" s="641"/>
      <c r="D26" s="410" t="s">
        <v>1246</v>
      </c>
      <c r="E26" s="411" t="s">
        <v>1247</v>
      </c>
      <c r="F26" s="641"/>
      <c r="G26" s="641"/>
      <c r="H26" s="641"/>
    </row>
    <row r="27" spans="2:8" outlineLevel="1">
      <c r="B27" s="641"/>
      <c r="C27" s="641"/>
      <c r="D27" s="410" t="s">
        <v>1248</v>
      </c>
      <c r="E27" s="411" t="s">
        <v>1249</v>
      </c>
      <c r="F27" s="641"/>
      <c r="G27" s="641"/>
      <c r="H27" s="641"/>
    </row>
    <row r="28" spans="2:8" outlineLevel="1">
      <c r="B28" s="641"/>
      <c r="C28" s="641"/>
      <c r="D28" s="410" t="s">
        <v>1250</v>
      </c>
      <c r="E28" s="411" t="s">
        <v>1263</v>
      </c>
      <c r="F28" s="641"/>
      <c r="G28" s="641"/>
      <c r="H28" s="641"/>
    </row>
    <row r="29" spans="2:8" outlineLevel="1">
      <c r="B29" s="641"/>
      <c r="C29" s="641"/>
      <c r="D29" s="410" t="s">
        <v>1252</v>
      </c>
      <c r="E29" s="412" t="str">
        <f>"{"&amp;E26&amp;":"&amp;E27&amp;"!"&amp;E28&amp;"}"</f>
        <v>{Cell:Rpt Content!RCSolutionSelected}</v>
      </c>
      <c r="F29" s="641"/>
      <c r="G29" s="641"/>
      <c r="H29" s="641"/>
    </row>
    <row r="30" spans="2:8" outlineLevel="1">
      <c r="B30" s="641"/>
      <c r="C30" s="641"/>
      <c r="D30" s="641"/>
      <c r="E30" s="641"/>
      <c r="F30" s="641"/>
      <c r="G30" s="641"/>
      <c r="H30" s="641"/>
    </row>
    <row r="31" spans="2:8" outlineLevel="1">
      <c r="B31" s="641"/>
      <c r="C31" s="641"/>
      <c r="D31" s="641"/>
      <c r="E31" s="641"/>
      <c r="F31" s="641"/>
      <c r="G31" s="641"/>
      <c r="H31" s="641"/>
    </row>
    <row r="32" spans="2:8" ht="25.5" outlineLevel="1">
      <c r="B32" s="641"/>
      <c r="C32" s="661" t="s">
        <v>1254</v>
      </c>
      <c r="D32" s="661" t="s">
        <v>1255</v>
      </c>
      <c r="E32" s="661" t="s">
        <v>1256</v>
      </c>
      <c r="F32" s="661" t="s">
        <v>1257</v>
      </c>
      <c r="G32" s="661" t="s">
        <v>1258</v>
      </c>
      <c r="H32" s="641"/>
    </row>
    <row r="33" spans="1:13" outlineLevel="1">
      <c r="A33" s="641"/>
      <c r="B33" s="641"/>
      <c r="C33" s="413"/>
      <c r="D33" s="413" t="s">
        <v>73</v>
      </c>
      <c r="E33" s="417">
        <f>ROI!E122</f>
        <v>0</v>
      </c>
      <c r="F33" s="413" t="s">
        <v>721</v>
      </c>
      <c r="G33" s="415" t="str">
        <f>C33&amp;D33&amp;":  " &amp;E33&amp;IF(F33="y",CHAR(10),)</f>
        <v xml:space="preserve">Organization Profile:  0
</v>
      </c>
      <c r="H33" s="641"/>
      <c r="I33" s="641"/>
      <c r="J33" s="641"/>
      <c r="K33" s="641"/>
      <c r="L33" s="641"/>
      <c r="M33" s="641"/>
    </row>
    <row r="34" spans="1:13" outlineLevel="1">
      <c r="A34" s="641"/>
      <c r="B34" s="641"/>
      <c r="C34" s="413" t="s">
        <v>1259</v>
      </c>
      <c r="D34" s="413" t="str">
        <f>ROI!$D47</f>
        <v>Organization Name</v>
      </c>
      <c r="E34" s="415" t="str">
        <f>ROI!$E47</f>
        <v>CompanyName</v>
      </c>
      <c r="F34" s="413" t="s">
        <v>721</v>
      </c>
      <c r="G34" s="415" t="str">
        <f t="shared" ref="G34:G44" si="1">C34&amp;D34&amp;":  " &amp;E34&amp;IF(F34="y",CHAR(10),)</f>
        <v xml:space="preserve">&gt;Organization Name:  CompanyName
</v>
      </c>
      <c r="H34" s="641"/>
      <c r="I34" s="641"/>
      <c r="J34" s="641"/>
      <c r="K34" s="641"/>
      <c r="L34" s="641"/>
      <c r="M34" s="641"/>
    </row>
    <row r="35" spans="1:13" outlineLevel="1">
      <c r="A35" s="641"/>
      <c r="B35" s="641"/>
      <c r="C35" s="413" t="s">
        <v>1259</v>
      </c>
      <c r="D35" s="413" t="str">
        <f>ROI!$D48</f>
        <v>Industry</v>
      </c>
      <c r="E35" s="415" t="str">
        <f>ROI!$E48</f>
        <v>Average or combination</v>
      </c>
      <c r="F35" s="413" t="s">
        <v>721</v>
      </c>
      <c r="G35" s="415" t="str">
        <f t="shared" si="1"/>
        <v xml:space="preserve">&gt;Industry:  Average or combination
</v>
      </c>
      <c r="H35" s="641"/>
      <c r="I35" s="641"/>
      <c r="J35" s="641"/>
      <c r="K35" s="641"/>
      <c r="L35" s="641"/>
      <c r="M35" s="641"/>
    </row>
    <row r="36" spans="1:13" outlineLevel="1">
      <c r="A36" s="641"/>
      <c r="B36" s="641"/>
      <c r="C36" s="413" t="s">
        <v>1259</v>
      </c>
      <c r="D36" s="413" t="str">
        <f>ROI!$D49</f>
        <v>Location</v>
      </c>
      <c r="E36" s="415" t="str">
        <f>ROI!$E49</f>
        <v>NORTH AMERICA - United States</v>
      </c>
      <c r="F36" s="413" t="s">
        <v>721</v>
      </c>
      <c r="G36" s="415" t="str">
        <f t="shared" si="1"/>
        <v xml:space="preserve">&gt;Location:  NORTH AMERICA - United States
</v>
      </c>
      <c r="H36" s="641"/>
      <c r="I36" s="641"/>
      <c r="J36" s="641"/>
      <c r="K36" s="641"/>
      <c r="L36" s="641"/>
      <c r="M36" s="641"/>
    </row>
    <row r="37" spans="1:13" outlineLevel="1">
      <c r="A37" s="641"/>
      <c r="B37" s="641"/>
      <c r="C37" s="413" t="s">
        <v>1259</v>
      </c>
      <c r="D37" s="413" t="str">
        <f>ROI!$D50</f>
        <v>Employees / FTEs (in project scope)</v>
      </c>
      <c r="E37" s="418" t="str">
        <f>TEXT(ROI!$E50,"#,##0")</f>
        <v>5,000</v>
      </c>
      <c r="F37" s="413" t="s">
        <v>721</v>
      </c>
      <c r="G37" s="415" t="str">
        <f t="shared" si="1"/>
        <v xml:space="preserve">&gt;Employees / FTEs (in project scope):  5,000
</v>
      </c>
      <c r="H37" s="641"/>
      <c r="I37" s="641"/>
      <c r="J37" s="641"/>
      <c r="K37" s="641"/>
      <c r="L37" s="641"/>
      <c r="M37" s="641"/>
    </row>
    <row r="38" spans="1:13" outlineLevel="1">
      <c r="A38" s="641"/>
      <c r="B38" s="641"/>
      <c r="C38" s="413" t="s">
        <v>1259</v>
      </c>
      <c r="D38" s="413" t="str">
        <f>ROI!$D51</f>
        <v>Organization Revenue (Millions) in scope</v>
      </c>
      <c r="E38" s="418" t="str">
        <f>TEXT(ROI!$E51,"$#,##0")</f>
        <v>$2,234</v>
      </c>
      <c r="F38" s="413" t="s">
        <v>721</v>
      </c>
      <c r="G38" s="415" t="str">
        <f t="shared" si="1"/>
        <v xml:space="preserve">&gt;Organization Revenue (Millions) in scope:  $2,234
</v>
      </c>
      <c r="H38" s="641"/>
      <c r="I38" s="641"/>
      <c r="J38" s="641"/>
      <c r="K38" s="641"/>
      <c r="L38" s="641"/>
      <c r="M38" s="641"/>
    </row>
    <row r="39" spans="1:13" outlineLevel="1">
      <c r="A39" s="641"/>
      <c r="B39" s="641"/>
      <c r="C39" s="413" t="s">
        <v>1259</v>
      </c>
      <c r="D39" s="413" t="str">
        <f>ROI!$D52</f>
        <v>Number of PC Users (in scope)</v>
      </c>
      <c r="E39" s="418" t="str">
        <f>TEXT(ROI!$E52,"#,##0")</f>
        <v>2,752</v>
      </c>
      <c r="F39" s="413" t="s">
        <v>721</v>
      </c>
      <c r="G39" s="415" t="str">
        <f t="shared" si="1"/>
        <v xml:space="preserve">&gt;Number of PC Users (in scope):  2,752
</v>
      </c>
      <c r="H39" s="641"/>
      <c r="I39" s="641"/>
      <c r="J39" s="641"/>
      <c r="K39" s="641"/>
      <c r="L39" s="641"/>
      <c r="M39" s="641"/>
    </row>
    <row r="40" spans="1:13" outlineLevel="1">
      <c r="A40" s="641"/>
      <c r="B40" s="641"/>
      <c r="C40" s="413" t="s">
        <v>1259</v>
      </c>
      <c r="D40" s="413" t="str">
        <f>ROI!$D53</f>
        <v>Total Number of PCs (in scope)</v>
      </c>
      <c r="E40" s="418" t="str">
        <f>TEXT(ROI!$E53,"#,##0")</f>
        <v>3,275</v>
      </c>
      <c r="F40" s="413" t="s">
        <v>721</v>
      </c>
      <c r="G40" s="415" t="str">
        <f t="shared" si="1"/>
        <v xml:space="preserve">&gt;Total Number of PCs (in scope):  3,275
</v>
      </c>
      <c r="H40" s="641"/>
      <c r="I40" s="641"/>
      <c r="J40" s="641"/>
      <c r="K40" s="641"/>
      <c r="L40" s="641"/>
      <c r="M40" s="641"/>
    </row>
    <row r="41" spans="1:13" outlineLevel="1">
      <c r="A41" s="641"/>
      <c r="B41" s="641"/>
      <c r="C41" s="413"/>
      <c r="D41" s="413" t="s">
        <v>1264</v>
      </c>
      <c r="E41" s="415"/>
      <c r="F41" s="413" t="s">
        <v>721</v>
      </c>
      <c r="G41" s="415" t="str">
        <f t="shared" si="1"/>
        <v xml:space="preserve">Solution Selected:  
</v>
      </c>
      <c r="H41" s="641"/>
      <c r="I41" s="641"/>
      <c r="J41" s="641"/>
      <c r="K41" s="641"/>
      <c r="L41" s="641"/>
      <c r="M41" s="641"/>
    </row>
    <row r="42" spans="1:13" outlineLevel="1">
      <c r="A42" s="641"/>
      <c r="B42" s="641"/>
      <c r="C42" s="413" t="s">
        <v>1259</v>
      </c>
      <c r="D42" s="413" t="str">
        <f>ROI!$D58</f>
        <v>Project Name:</v>
      </c>
      <c r="E42" s="415" t="str">
        <f>ROI!$E58</f>
        <v>Data Center / Server</v>
      </c>
      <c r="F42" s="413" t="s">
        <v>721</v>
      </c>
      <c r="G42" s="415" t="str">
        <f>C42&amp;D42&amp;"  " &amp;E42&amp;IF(F42="y",CHAR(10),)</f>
        <v xml:space="preserve">&gt;Project Name:  Data Center / Server
</v>
      </c>
      <c r="H42" s="641"/>
      <c r="I42" s="641"/>
      <c r="J42" s="641"/>
      <c r="K42" s="641"/>
      <c r="L42" s="641"/>
      <c r="M42" s="641"/>
    </row>
    <row r="43" spans="1:13" outlineLevel="1">
      <c r="A43" s="641"/>
      <c r="B43" s="641"/>
      <c r="C43" s="413" t="s">
        <v>1259</v>
      </c>
      <c r="D43" s="413" t="str">
        <f>ROI!$D59</f>
        <v>Project Description:</v>
      </c>
      <c r="E43" s="415" t="str">
        <f>SUBSTITUTE(ROI!$E$59,CHAR(10),"  ")</f>
        <v>• Virtualization, consolidation, clustering, real-time infrastructure, self-service provisioning, power and cooling  • Improved performance, reliability, manageability, security  • Multi-core, 64-bit, RISC/Itanium, x86  • Web servers, application servers, DBMS servers, data warehouse servers, infrastructure servers, high performance computing servers</v>
      </c>
      <c r="F43" s="413" t="s">
        <v>721</v>
      </c>
      <c r="G43" s="415" t="str">
        <f>C43&amp;D43&amp;"  " &amp;E43&amp;IF(F43="y",CHAR(10),)</f>
        <v xml:space="preserve">&gt;Project Description:  • Virtualization, consolidation, clustering, real-time infrastructure, self-service provisioning, power and cooling  • Improved performance, reliability, manageability, security  • Multi-core, 64-bit, RISC/Itanium, x86  • Web servers, application servers, DBMS servers, data warehouse servers, infrastructure servers, high performance computing servers
</v>
      </c>
      <c r="H43" s="641"/>
      <c r="I43" s="641"/>
      <c r="J43" s="641"/>
      <c r="K43" s="641"/>
      <c r="L43" s="641"/>
      <c r="M43" s="641"/>
    </row>
    <row r="44" spans="1:13" outlineLevel="1">
      <c r="A44" s="641"/>
      <c r="B44" s="641"/>
      <c r="C44" s="413" t="s">
        <v>1259</v>
      </c>
      <c r="D44" s="413" t="str">
        <f>ROI!$D60</f>
        <v>Project Scale (Investment level)</v>
      </c>
      <c r="E44" s="415" t="str">
        <f>ROI!$E60</f>
        <v>Minor (e.g. enhancement/upgrade)</v>
      </c>
      <c r="F44" s="413"/>
      <c r="G44" s="415" t="str">
        <f t="shared" si="1"/>
        <v>&gt;Project Scale (Investment level):  Minor (e.g. enhancement/upgrade)</v>
      </c>
      <c r="H44" s="641"/>
      <c r="I44" s="641"/>
      <c r="J44" s="641"/>
      <c r="K44" s="641"/>
      <c r="L44" s="641"/>
      <c r="M44" s="641"/>
    </row>
    <row r="45" spans="1:13" ht="13.5" outlineLevel="1" thickBot="1">
      <c r="A45" s="641"/>
      <c r="B45" s="641"/>
      <c r="C45" s="641"/>
      <c r="D45" s="641"/>
      <c r="E45" s="641"/>
      <c r="F45" s="641"/>
      <c r="G45" s="641"/>
      <c r="H45" s="641"/>
      <c r="I45" s="641"/>
      <c r="J45" s="641"/>
      <c r="K45" s="641"/>
      <c r="L45" s="641"/>
      <c r="M45" s="641"/>
    </row>
    <row r="46" spans="1:13" ht="244.5" customHeight="1" outlineLevel="1" thickTop="1">
      <c r="A46" s="641"/>
      <c r="B46" s="641"/>
      <c r="C46" s="422" t="s">
        <v>1260</v>
      </c>
      <c r="D46" s="883" t="str">
        <f>CONCATENATE(G33,G34,G35,G36,G37,G38,G39,G40,G41,G42,G43,G44)</f>
        <v>Organization Profile:  0
&gt;Organization Name:  CompanyName
&gt;Industry:  Average or combination
&gt;Location:  NORTH AMERICA - United States
&gt;Employees / FTEs (in project scope):  5,000
&gt;Organization Revenue (Millions) in scope:  $2,234
&gt;Number of PC Users (in scope):  2,752
&gt;Total Number of PCs (in scope):  3,275
Solution Selected:  
&gt;Project Name:  Data Center / Server
&gt;Project Description:  • Virtualization, consolidation, clustering, real-time infrastructure, self-service provisioning, power and cooling  • Improved performance, reliability, manageability, security  • Multi-core, 64-bit, RISC/Itanium, x86  • Web servers, application servers, DBMS servers, data warehouse servers, infrastructure servers, high performance computing servers
&gt;Project Scale (Investment level):  Minor (e.g. enhancement/upgrade)</v>
      </c>
      <c r="E46" s="883"/>
      <c r="F46" s="883"/>
      <c r="G46" s="883"/>
      <c r="H46" s="641" t="s">
        <v>1265</v>
      </c>
      <c r="I46" s="641"/>
      <c r="J46" s="641"/>
      <c r="K46" s="641"/>
      <c r="L46" s="641"/>
      <c r="M46" s="641"/>
    </row>
    <row r="47" spans="1:13" outlineLevel="1">
      <c r="A47" s="641"/>
      <c r="B47" s="641"/>
      <c r="C47" s="641"/>
      <c r="D47" s="641"/>
      <c r="E47" s="641"/>
      <c r="F47" s="641"/>
      <c r="G47" s="641"/>
      <c r="H47" s="641"/>
      <c r="I47" s="641"/>
      <c r="J47" s="641"/>
      <c r="K47" s="641"/>
      <c r="L47" s="641"/>
      <c r="M47" s="641"/>
    </row>
    <row r="48" spans="1:13" ht="27">
      <c r="A48" s="4"/>
      <c r="B48" s="4"/>
      <c r="C48" s="4"/>
      <c r="D48" s="4"/>
      <c r="E48" s="4"/>
      <c r="F48" s="4"/>
      <c r="G48" s="4"/>
      <c r="H48" s="4"/>
      <c r="I48" s="4"/>
      <c r="J48" s="4"/>
      <c r="K48" s="4"/>
      <c r="L48" s="4"/>
      <c r="M48" s="4"/>
    </row>
    <row r="49" spans="1:13">
      <c r="A49" s="641"/>
      <c r="B49" s="641"/>
      <c r="C49" s="641"/>
      <c r="D49" s="641"/>
      <c r="E49" s="641"/>
      <c r="F49" s="641"/>
      <c r="G49" s="641"/>
      <c r="H49" s="641"/>
      <c r="I49" s="641"/>
      <c r="J49" s="641"/>
      <c r="K49" s="641"/>
      <c r="L49" s="641"/>
      <c r="M49" s="641"/>
    </row>
    <row r="50" spans="1:13" ht="22.5">
      <c r="A50" s="641"/>
      <c r="B50" s="647" t="s">
        <v>1266</v>
      </c>
      <c r="C50" s="641"/>
      <c r="D50" s="641"/>
      <c r="E50" s="641"/>
      <c r="F50" s="641"/>
      <c r="G50" s="641"/>
      <c r="H50" s="641"/>
      <c r="I50" s="641"/>
      <c r="J50" s="641"/>
      <c r="K50" s="641"/>
      <c r="L50" s="641"/>
      <c r="M50" s="641"/>
    </row>
    <row r="51" spans="1:13">
      <c r="A51" s="641"/>
      <c r="B51" s="641"/>
      <c r="C51" s="641"/>
      <c r="D51" s="641"/>
      <c r="E51" s="641"/>
      <c r="F51" s="641"/>
      <c r="G51" s="649">
        <f ca="1">MAX(dCFYr)</f>
        <v>45717</v>
      </c>
      <c r="H51" s="641"/>
      <c r="I51" s="641"/>
      <c r="J51" s="641"/>
      <c r="K51" s="641"/>
      <c r="L51" s="641"/>
      <c r="M51" s="641"/>
    </row>
    <row r="52" spans="1:13">
      <c r="A52" s="641"/>
      <c r="B52" s="641"/>
      <c r="C52" s="641"/>
      <c r="D52" s="270" t="s">
        <v>1267</v>
      </c>
      <c r="E52" s="270" t="s">
        <v>1268</v>
      </c>
      <c r="F52" s="270" t="s">
        <v>1269</v>
      </c>
      <c r="G52" s="270" t="s">
        <v>1270</v>
      </c>
      <c r="H52" s="270" t="s">
        <v>1271</v>
      </c>
      <c r="I52" s="270" t="s">
        <v>1272</v>
      </c>
      <c r="J52" s="270" t="s">
        <v>1273</v>
      </c>
      <c r="K52" s="641"/>
      <c r="L52" s="641"/>
      <c r="M52" s="641"/>
    </row>
    <row r="53" spans="1:13">
      <c r="A53" s="641"/>
      <c r="B53" s="641"/>
      <c r="C53" s="641"/>
      <c r="D53" s="650"/>
      <c r="E53" s="650"/>
      <c r="F53" s="650"/>
      <c r="G53" s="650"/>
      <c r="H53" s="650"/>
      <c r="I53" s="650"/>
      <c r="J53" s="650"/>
      <c r="K53" s="641"/>
      <c r="L53" s="641"/>
      <c r="M53" s="641"/>
    </row>
    <row r="54" spans="1:13" ht="25.5">
      <c r="A54" s="641"/>
      <c r="B54" s="641"/>
      <c r="C54" s="641"/>
      <c r="D54" s="641"/>
      <c r="E54" s="398"/>
      <c r="F54" s="398"/>
      <c r="G54" s="398"/>
      <c r="H54" s="671" t="s">
        <v>1186</v>
      </c>
      <c r="I54" s="398"/>
      <c r="J54" s="398"/>
      <c r="K54" s="398"/>
      <c r="L54" s="641"/>
      <c r="M54" s="641"/>
    </row>
    <row r="55" spans="1:13" ht="39" thickBot="1">
      <c r="A55" s="641"/>
      <c r="B55" s="641"/>
      <c r="C55" s="641"/>
      <c r="D55" s="398"/>
      <c r="E55" s="686" t="s">
        <v>1187</v>
      </c>
      <c r="F55" s="686" t="s">
        <v>1188</v>
      </c>
      <c r="G55" s="671" t="s">
        <v>782</v>
      </c>
      <c r="H55" s="671" t="s">
        <v>1189</v>
      </c>
      <c r="I55" s="671" t="s">
        <v>783</v>
      </c>
      <c r="J55" s="671" t="s">
        <v>784</v>
      </c>
      <c r="K55" s="398"/>
      <c r="L55" s="641"/>
      <c r="M55" s="641"/>
    </row>
    <row r="56" spans="1:13">
      <c r="A56" s="641"/>
      <c r="B56" s="641"/>
      <c r="C56" s="641"/>
      <c r="D56" s="651">
        <f>Refrc!B276</f>
        <v>43709</v>
      </c>
      <c r="E56" s="652">
        <f>Refrc!C276</f>
        <v>0</v>
      </c>
      <c r="F56" s="653">
        <f>Refrc!D276</f>
        <v>0</v>
      </c>
      <c r="G56" s="705">
        <f>Refrc!E276</f>
        <v>1E-3</v>
      </c>
      <c r="H56" s="107">
        <f>Refrc!F276</f>
        <v>1E-3</v>
      </c>
      <c r="I56" s="400"/>
      <c r="J56" s="400"/>
      <c r="K56" s="181" t="s">
        <v>1190</v>
      </c>
      <c r="L56" s="641"/>
      <c r="M56" s="641"/>
    </row>
    <row r="57" spans="1:13">
      <c r="A57" s="641"/>
      <c r="B57" s="641"/>
      <c r="C57" s="641"/>
      <c r="D57" s="654">
        <f>Refrc!B277</f>
        <v>43891</v>
      </c>
      <c r="E57" s="539">
        <f>Refrc!C277</f>
        <v>-94.356345249593844</v>
      </c>
      <c r="F57" s="655">
        <f>Refrc!D277</f>
        <v>0</v>
      </c>
      <c r="G57" s="400"/>
      <c r="H57" s="107">
        <f>Refrc!F277</f>
        <v>1E-3</v>
      </c>
      <c r="I57" s="107">
        <f>Refrc!G277</f>
        <v>1E-3</v>
      </c>
      <c r="J57" s="400"/>
      <c r="K57" s="181" t="s">
        <v>783</v>
      </c>
      <c r="L57" s="641"/>
      <c r="M57" s="641"/>
    </row>
    <row r="58" spans="1:13">
      <c r="A58" s="641"/>
      <c r="B58" s="641"/>
      <c r="C58" s="641"/>
      <c r="D58" s="656">
        <f>Refrc!B278</f>
        <v>44058</v>
      </c>
      <c r="E58" s="539">
        <f>Refrc!C278</f>
        <v>0</v>
      </c>
      <c r="F58" s="655">
        <f>Refrc!D278</f>
        <v>0</v>
      </c>
      <c r="G58" s="400"/>
      <c r="H58" s="400"/>
      <c r="I58" s="400"/>
      <c r="J58" s="107">
        <f>Refrc!H278</f>
        <v>1E-3</v>
      </c>
      <c r="K58" s="181" t="s">
        <v>784</v>
      </c>
      <c r="L58" s="641" t="s">
        <v>1274</v>
      </c>
      <c r="M58" s="641"/>
    </row>
    <row r="59" spans="1:13">
      <c r="A59" s="641"/>
      <c r="B59" s="641"/>
      <c r="C59" s="641"/>
      <c r="D59" s="654">
        <f>Refrc!B279</f>
        <v>43466</v>
      </c>
      <c r="E59" s="539">
        <f>Refrc!C279</f>
        <v>0</v>
      </c>
      <c r="F59" s="655">
        <f>Refrc!D279</f>
        <v>0</v>
      </c>
      <c r="G59" s="398"/>
      <c r="H59" s="398"/>
      <c r="I59" s="398"/>
      <c r="J59" s="398"/>
      <c r="K59" s="181" t="s">
        <v>1191</v>
      </c>
      <c r="L59" s="641"/>
      <c r="M59" s="641"/>
    </row>
    <row r="60" spans="1:13">
      <c r="A60" s="641"/>
      <c r="B60" s="641"/>
      <c r="C60" s="641"/>
      <c r="D60" s="654">
        <f>Refrc!B280</f>
        <v>44256</v>
      </c>
      <c r="E60" s="539">
        <f>Refrc!C280</f>
        <v>0</v>
      </c>
      <c r="F60" s="655">
        <f>Refrc!D280</f>
        <v>112.05123682677562</v>
      </c>
      <c r="G60" s="398"/>
      <c r="H60" s="398"/>
      <c r="I60" s="398"/>
      <c r="J60" s="398"/>
      <c r="K60" s="398"/>
      <c r="L60" s="641"/>
      <c r="M60" s="641"/>
    </row>
    <row r="61" spans="1:13">
      <c r="A61" s="641"/>
      <c r="B61" s="641"/>
      <c r="C61" s="641"/>
      <c r="D61" s="654">
        <f>Refrc!B281</f>
        <v>44621</v>
      </c>
      <c r="E61" s="539">
        <f>Refrc!C281</f>
        <v>0</v>
      </c>
      <c r="F61" s="655">
        <f>Refrc!D281</f>
        <v>310.9888189031451</v>
      </c>
      <c r="G61" s="398"/>
      <c r="H61" s="398"/>
      <c r="I61" s="398"/>
      <c r="J61" s="398"/>
      <c r="K61" s="398"/>
      <c r="L61" s="641"/>
      <c r="M61" s="641"/>
    </row>
    <row r="62" spans="1:13">
      <c r="A62" s="641"/>
      <c r="B62" s="641"/>
      <c r="C62" s="641"/>
      <c r="D62" s="654">
        <f>Refrc!B282</f>
        <v>44986</v>
      </c>
      <c r="E62" s="539">
        <f>Refrc!C282</f>
        <v>0</v>
      </c>
      <c r="F62" s="655">
        <f>Refrc!D282</f>
        <v>509.9264009795146</v>
      </c>
      <c r="G62" s="398"/>
      <c r="H62" s="398"/>
      <c r="I62" s="398"/>
      <c r="J62" s="398"/>
      <c r="K62" s="398"/>
      <c r="L62" s="641"/>
      <c r="M62" s="641"/>
    </row>
    <row r="63" spans="1:13">
      <c r="A63" s="641"/>
      <c r="B63" s="641"/>
      <c r="C63" s="641"/>
      <c r="D63" s="654">
        <f>Refrc!B283</f>
        <v>45352</v>
      </c>
      <c r="E63" s="539">
        <f>Refrc!C283</f>
        <v>0</v>
      </c>
      <c r="F63" s="655">
        <f>Refrc!D283</f>
        <v>708.86398305588409</v>
      </c>
      <c r="G63" s="398"/>
      <c r="H63" s="398"/>
      <c r="I63" s="398"/>
      <c r="J63" s="398"/>
      <c r="K63" s="398"/>
      <c r="L63" s="641"/>
      <c r="M63" s="641"/>
    </row>
    <row r="64" spans="1:13">
      <c r="A64" s="641"/>
      <c r="B64" s="641"/>
      <c r="C64" s="641"/>
      <c r="D64" s="654">
        <f>Refrc!B284</f>
        <v>45717</v>
      </c>
      <c r="E64" s="539">
        <f>Refrc!C284</f>
        <v>0</v>
      </c>
      <c r="F64" s="655">
        <f>Refrc!D284</f>
        <v>907.80156513225359</v>
      </c>
      <c r="G64" s="398"/>
      <c r="H64" s="398"/>
      <c r="I64" s="398"/>
      <c r="J64" s="398"/>
      <c r="K64" s="398"/>
      <c r="L64" s="641"/>
      <c r="M64" s="641"/>
    </row>
    <row r="65" spans="1:13">
      <c r="A65" s="641"/>
      <c r="B65" s="641"/>
      <c r="C65" s="641"/>
      <c r="D65" s="654">
        <f>Refrc!B285</f>
        <v>46082</v>
      </c>
      <c r="E65" s="539">
        <f>Refrc!C285</f>
        <v>0</v>
      </c>
      <c r="F65" s="655">
        <f>Refrc!D285</f>
        <v>907.80156513225359</v>
      </c>
      <c r="G65" s="398"/>
      <c r="H65" s="398"/>
      <c r="I65" s="398"/>
      <c r="J65" s="398"/>
      <c r="K65" s="398"/>
      <c r="L65" s="641"/>
      <c r="M65" s="641"/>
    </row>
    <row r="66" spans="1:13">
      <c r="A66" s="641"/>
      <c r="B66" s="641"/>
      <c r="C66" s="641"/>
      <c r="D66" s="654">
        <f>Refrc!B286</f>
        <v>46447</v>
      </c>
      <c r="E66" s="539">
        <f>Refrc!C286</f>
        <v>0</v>
      </c>
      <c r="F66" s="655">
        <f>Refrc!D286</f>
        <v>907.80156513225359</v>
      </c>
      <c r="G66" s="398"/>
      <c r="H66" s="398"/>
      <c r="I66" s="398"/>
      <c r="J66" s="398"/>
      <c r="K66" s="398"/>
      <c r="L66" s="641"/>
      <c r="M66" s="641"/>
    </row>
    <row r="67" spans="1:13">
      <c r="A67" s="641"/>
      <c r="B67" s="641"/>
      <c r="C67" s="641"/>
      <c r="D67" s="654">
        <f>Refrc!B287</f>
        <v>46813</v>
      </c>
      <c r="E67" s="539">
        <f>Refrc!C287</f>
        <v>0</v>
      </c>
      <c r="F67" s="655">
        <f>Refrc!D287</f>
        <v>907.80156513225359</v>
      </c>
      <c r="G67" s="398"/>
      <c r="H67" s="398"/>
      <c r="I67" s="398"/>
      <c r="J67" s="398"/>
      <c r="K67" s="398"/>
      <c r="L67" s="641"/>
      <c r="M67" s="641"/>
    </row>
    <row r="68" spans="1:13">
      <c r="A68" s="641"/>
      <c r="B68" s="641"/>
      <c r="C68" s="641"/>
      <c r="D68" s="654">
        <f>Refrc!B288</f>
        <v>47178</v>
      </c>
      <c r="E68" s="539">
        <f>Refrc!C288</f>
        <v>0</v>
      </c>
      <c r="F68" s="655">
        <f>Refrc!D288</f>
        <v>907.80156513225359</v>
      </c>
      <c r="G68" s="398"/>
      <c r="H68" s="398"/>
      <c r="I68" s="398"/>
      <c r="J68" s="398"/>
      <c r="K68" s="398"/>
      <c r="L68" s="641"/>
      <c r="M68" s="641"/>
    </row>
    <row r="69" spans="1:13" ht="13.5" thickBot="1">
      <c r="A69" s="641"/>
      <c r="B69" s="641"/>
      <c r="C69" s="641"/>
      <c r="D69" s="657">
        <f>Refrc!B289</f>
        <v>47543</v>
      </c>
      <c r="E69" s="658">
        <f>Refrc!C289</f>
        <v>0</v>
      </c>
      <c r="F69" s="659">
        <f>Refrc!D289</f>
        <v>907.80156513225359</v>
      </c>
      <c r="G69" s="398"/>
      <c r="H69" s="398"/>
      <c r="I69" s="398"/>
      <c r="J69" s="398"/>
      <c r="K69" s="398"/>
      <c r="L69" s="641"/>
      <c r="M69" s="641"/>
    </row>
    <row r="70" spans="1:13">
      <c r="A70" s="641"/>
      <c r="B70" s="641"/>
      <c r="C70" s="641"/>
      <c r="D70" s="641"/>
      <c r="E70" s="641"/>
      <c r="F70" s="641"/>
      <c r="G70" s="641"/>
      <c r="H70" s="641"/>
      <c r="I70" s="641"/>
      <c r="J70" s="641"/>
      <c r="K70" s="641"/>
      <c r="L70" s="641"/>
      <c r="M70" s="641"/>
    </row>
    <row r="71" spans="1:13" ht="22.5">
      <c r="A71" s="641"/>
      <c r="B71" s="647" t="s">
        <v>1275</v>
      </c>
      <c r="C71" s="641"/>
      <c r="D71" s="641"/>
      <c r="E71" s="641"/>
      <c r="F71" s="641"/>
      <c r="G71" s="641"/>
      <c r="H71" s="641"/>
      <c r="I71" s="641"/>
      <c r="J71" s="641"/>
      <c r="K71" s="641"/>
      <c r="L71" s="641"/>
      <c r="M71" s="641"/>
    </row>
    <row r="72" spans="1:13" ht="15" thickBot="1">
      <c r="A72" s="641"/>
      <c r="B72" s="641"/>
      <c r="C72" s="648"/>
      <c r="D72" s="641"/>
      <c r="E72" s="686" t="str">
        <f>ROI!$G$76</f>
        <v>Project Total</v>
      </c>
      <c r="F72" s="641"/>
      <c r="G72" s="641"/>
      <c r="H72" s="641"/>
      <c r="I72" s="641"/>
      <c r="J72" s="641"/>
      <c r="K72" s="641"/>
      <c r="L72" s="641"/>
      <c r="M72" s="641"/>
    </row>
    <row r="73" spans="1:13">
      <c r="A73" s="641"/>
      <c r="B73" s="641"/>
      <c r="C73" s="641"/>
      <c r="D73" s="643" t="str">
        <f>ROI!D155</f>
        <v>Client Hardware</v>
      </c>
      <c r="E73" s="644">
        <f>ROI!J155</f>
        <v>0</v>
      </c>
      <c r="F73" s="641"/>
      <c r="G73" s="641"/>
      <c r="H73" s="641"/>
      <c r="I73" s="641"/>
      <c r="J73" s="641"/>
      <c r="K73" s="641"/>
      <c r="L73" s="641"/>
      <c r="M73" s="641"/>
    </row>
    <row r="74" spans="1:13">
      <c r="A74" s="641"/>
      <c r="B74" s="641"/>
      <c r="C74" s="641"/>
      <c r="D74" s="643" t="str">
        <f>ROI!D156</f>
        <v>Data Center Hardware</v>
      </c>
      <c r="E74" s="645">
        <f>ROI!J156</f>
        <v>72.245063668897359</v>
      </c>
      <c r="F74" s="641"/>
      <c r="G74" s="641"/>
      <c r="H74" s="641"/>
      <c r="I74" s="641"/>
      <c r="J74" s="641"/>
      <c r="K74" s="641"/>
      <c r="L74" s="641"/>
      <c r="M74" s="641"/>
    </row>
    <row r="75" spans="1:13">
      <c r="A75" s="641"/>
      <c r="B75" s="641"/>
      <c r="C75" s="641"/>
      <c r="D75" s="643" t="str">
        <f>ROI!D159</f>
        <v>Client Software</v>
      </c>
      <c r="E75" s="645">
        <f>ROI!J159</f>
        <v>60.65145107060286</v>
      </c>
      <c r="F75" s="641"/>
      <c r="G75" s="641"/>
      <c r="H75" s="641"/>
      <c r="I75" s="641"/>
      <c r="J75" s="641"/>
      <c r="K75" s="641"/>
      <c r="L75" s="641"/>
      <c r="M75" s="641"/>
    </row>
    <row r="76" spans="1:13">
      <c r="A76" s="641"/>
      <c r="B76" s="641"/>
      <c r="C76" s="641"/>
      <c r="D76" s="643" t="str">
        <f>ROI!D160</f>
        <v>Server Software</v>
      </c>
      <c r="E76" s="645">
        <f>ROI!J160</f>
        <v>123.27530705407091</v>
      </c>
      <c r="F76" s="641"/>
      <c r="G76" s="641"/>
      <c r="H76" s="641"/>
      <c r="I76" s="641"/>
      <c r="J76" s="641"/>
      <c r="K76" s="641"/>
      <c r="L76" s="641"/>
      <c r="M76" s="641"/>
    </row>
    <row r="77" spans="1:13">
      <c r="A77" s="641"/>
      <c r="B77" s="641"/>
      <c r="C77" s="641"/>
      <c r="D77" s="643" t="str">
        <f>ROI!D163</f>
        <v>One-time Implementation Labor/Services</v>
      </c>
      <c r="E77" s="645">
        <f>ROI!J163</f>
        <v>49.488725422755223</v>
      </c>
      <c r="F77" s="641"/>
      <c r="G77" s="641"/>
      <c r="H77" s="641"/>
      <c r="I77" s="641"/>
      <c r="J77" s="641"/>
      <c r="K77" s="641"/>
      <c r="L77" s="641"/>
      <c r="M77" s="641"/>
    </row>
    <row r="78" spans="1:13">
      <c r="A78" s="641"/>
      <c r="B78" s="641"/>
      <c r="C78" s="641"/>
      <c r="D78" s="643" t="str">
        <f>ROI!D164</f>
        <v>Annual On-Going Labor/Services</v>
      </c>
      <c r="E78" s="645">
        <f>ROI!J164</f>
        <v>1.1826349825290765</v>
      </c>
      <c r="F78" s="641"/>
      <c r="G78" s="641"/>
      <c r="H78" s="641"/>
      <c r="I78" s="641"/>
      <c r="J78" s="641"/>
      <c r="K78" s="641"/>
      <c r="L78" s="641"/>
      <c r="M78" s="641"/>
    </row>
    <row r="79" spans="1:13">
      <c r="A79" s="641"/>
      <c r="B79" s="641"/>
      <c r="C79" s="641"/>
      <c r="D79" s="643" t="str">
        <f>ROI!D165</f>
        <v>Incremental Help Desk Calls</v>
      </c>
      <c r="E79" s="645">
        <f>ROI!J165</f>
        <v>2.7015601757334542</v>
      </c>
      <c r="F79" s="641"/>
      <c r="G79" s="641"/>
      <c r="H79" s="641"/>
      <c r="I79" s="641"/>
      <c r="J79" s="641"/>
      <c r="K79" s="641"/>
      <c r="L79" s="641"/>
      <c r="M79" s="641"/>
    </row>
    <row r="80" spans="1:13">
      <c r="A80" s="641"/>
      <c r="B80" s="641"/>
      <c r="C80" s="641"/>
      <c r="D80" s="643" t="str">
        <f>ROI!D166</f>
        <v>IT Training</v>
      </c>
      <c r="E80" s="645">
        <f>ROI!J166</f>
        <v>40.469378964601319</v>
      </c>
      <c r="F80" s="641"/>
      <c r="G80" s="641"/>
      <c r="H80" s="641"/>
      <c r="I80" s="641"/>
      <c r="J80" s="641"/>
      <c r="K80" s="641"/>
      <c r="L80" s="641"/>
      <c r="M80" s="641"/>
    </row>
    <row r="81" spans="1:13">
      <c r="A81" s="641"/>
      <c r="B81" s="641"/>
      <c r="C81" s="641"/>
      <c r="D81" s="643" t="str">
        <f>ROI!D169</f>
        <v>End-User Labor</v>
      </c>
      <c r="E81" s="645">
        <f>ROI!J169</f>
        <v>31.018218163671129</v>
      </c>
      <c r="F81" s="641"/>
      <c r="G81" s="641"/>
      <c r="H81" s="641"/>
      <c r="I81" s="641"/>
      <c r="J81" s="641"/>
      <c r="K81" s="641"/>
      <c r="L81" s="641"/>
      <c r="M81" s="641"/>
    </row>
    <row r="82" spans="1:13" ht="13.5" thickBot="1">
      <c r="A82" s="641"/>
      <c r="B82" s="641"/>
      <c r="C82" s="641"/>
      <c r="D82" s="643" t="str">
        <f>ROI!D170</f>
        <v>End-User Training</v>
      </c>
      <c r="E82" s="646">
        <f>ROI!J170</f>
        <v>29.752065977212666</v>
      </c>
      <c r="F82" s="641"/>
      <c r="G82" s="641"/>
      <c r="H82" s="641"/>
      <c r="I82" s="641"/>
      <c r="J82" s="641"/>
      <c r="K82" s="641"/>
      <c r="L82" s="641"/>
      <c r="M82" s="641"/>
    </row>
    <row r="83" spans="1:13">
      <c r="A83" s="641"/>
      <c r="B83" s="641"/>
      <c r="C83" s="641"/>
      <c r="D83" s="373" t="s">
        <v>259</v>
      </c>
      <c r="E83" s="593">
        <f>SUM(E73:E82)</f>
        <v>410.78440548007399</v>
      </c>
      <c r="F83" s="641"/>
      <c r="G83" s="641"/>
      <c r="H83" s="641"/>
      <c r="I83" s="641"/>
      <c r="J83" s="641"/>
      <c r="K83" s="641"/>
      <c r="L83" s="641"/>
      <c r="M83" s="641"/>
    </row>
    <row r="84" spans="1:13">
      <c r="A84" s="641"/>
      <c r="B84" s="641"/>
      <c r="C84" s="641"/>
      <c r="D84" s="641"/>
      <c r="E84" s="641"/>
      <c r="F84" s="641"/>
      <c r="G84" s="641"/>
      <c r="H84" s="641"/>
      <c r="I84" s="641"/>
      <c r="J84" s="641"/>
      <c r="K84" s="641"/>
      <c r="L84" s="641"/>
      <c r="M84" s="641"/>
    </row>
    <row r="85" spans="1:13">
      <c r="A85" s="641"/>
      <c r="B85" s="641"/>
      <c r="C85" s="641"/>
      <c r="D85" s="641"/>
      <c r="E85" s="641"/>
      <c r="F85" s="641"/>
      <c r="G85" s="641"/>
      <c r="H85" s="641"/>
      <c r="I85" s="641"/>
      <c r="J85" s="641"/>
      <c r="K85" s="641"/>
      <c r="L85" s="641"/>
      <c r="M85" s="641"/>
    </row>
    <row r="86" spans="1:13" ht="13.5" thickBot="1">
      <c r="A86" s="641"/>
      <c r="B86" s="641"/>
      <c r="C86" s="409" t="s">
        <v>1276</v>
      </c>
      <c r="D86" s="641"/>
      <c r="E86" s="641"/>
      <c r="F86" s="641"/>
      <c r="G86" s="641"/>
      <c r="H86" s="641"/>
      <c r="I86" s="641"/>
      <c r="J86" s="641"/>
      <c r="K86" s="641"/>
      <c r="L86" s="641"/>
      <c r="M86" s="641"/>
    </row>
    <row r="87" spans="1:13">
      <c r="A87" s="641"/>
      <c r="B87" s="641"/>
      <c r="C87" s="641"/>
      <c r="D87" s="707" t="str">
        <f>ROI!D58</f>
        <v>Project Name:</v>
      </c>
      <c r="E87" s="708" t="str">
        <f>ROI!E58</f>
        <v>Data Center / Server</v>
      </c>
      <c r="F87" s="641"/>
      <c r="G87" s="641"/>
      <c r="H87" s="641"/>
      <c r="I87" s="641"/>
      <c r="J87" s="641"/>
      <c r="K87" s="641"/>
      <c r="L87" s="641"/>
      <c r="M87" s="641"/>
    </row>
    <row r="88" spans="1:13">
      <c r="A88" s="641"/>
      <c r="B88" s="641"/>
      <c r="C88" s="641"/>
      <c r="D88" s="709" t="str">
        <f>ROI!D59</f>
        <v>Project Description:</v>
      </c>
      <c r="E88" s="710" t="str">
        <f>ROI!E59</f>
        <v>• Virtualization, consolidation, clustering, real-time infrastructure, self-service provisioning, power and cooling
• Improved performance, reliability, manageability, security
• Multi-core, 64-bit, RISC/Itanium, x86
• Web servers, application servers, DBMS servers, data warehouse servers, infrastructure servers, high performance computing servers</v>
      </c>
      <c r="F88" s="641"/>
      <c r="G88" s="641"/>
      <c r="H88" s="641"/>
      <c r="I88" s="641"/>
      <c r="J88" s="641"/>
      <c r="K88" s="641"/>
      <c r="L88" s="641"/>
      <c r="M88" s="641"/>
    </row>
    <row r="89" spans="1:13" ht="13.5" thickBot="1">
      <c r="A89" s="641"/>
      <c r="B89" s="641"/>
      <c r="C89" s="641"/>
      <c r="D89" s="711" t="str">
        <f>ROI!D60</f>
        <v>Project Scale (Investment level)</v>
      </c>
      <c r="E89" s="712" t="str">
        <f>ROI!E60</f>
        <v>Minor (e.g. enhancement/upgrade)</v>
      </c>
      <c r="F89" s="641"/>
      <c r="G89" s="641"/>
      <c r="H89" s="641"/>
      <c r="I89" s="641"/>
      <c r="J89" s="641"/>
      <c r="K89" s="641"/>
      <c r="L89" s="641"/>
      <c r="M89" s="641"/>
    </row>
    <row r="90" spans="1:13">
      <c r="A90" s="641"/>
      <c r="B90" s="641"/>
      <c r="C90" s="641"/>
      <c r="D90" s="641"/>
      <c r="E90" s="641"/>
      <c r="F90" s="641"/>
      <c r="G90" s="641"/>
      <c r="H90" s="641"/>
      <c r="I90" s="641"/>
      <c r="J90" s="641"/>
      <c r="K90" s="641"/>
      <c r="L90" s="641"/>
      <c r="M90" s="641"/>
    </row>
    <row r="91" spans="1:13">
      <c r="A91" s="641"/>
      <c r="B91" s="641"/>
      <c r="C91" s="641"/>
      <c r="D91" s="641"/>
      <c r="E91" s="641"/>
      <c r="F91" s="641"/>
      <c r="G91" s="641"/>
      <c r="H91" s="641"/>
      <c r="I91" s="641"/>
      <c r="J91" s="641"/>
      <c r="K91" s="641"/>
      <c r="L91" s="641"/>
      <c r="M91" s="641"/>
    </row>
    <row r="92" spans="1:13">
      <c r="A92" s="641"/>
      <c r="B92" s="641"/>
      <c r="C92" s="641"/>
      <c r="D92" s="641"/>
      <c r="E92" s="641"/>
      <c r="F92" s="641"/>
      <c r="G92" s="641"/>
      <c r="H92" s="641"/>
      <c r="I92" s="641"/>
      <c r="J92" s="641"/>
      <c r="K92" s="641"/>
      <c r="L92" s="641"/>
      <c r="M92" s="641"/>
    </row>
    <row r="93" spans="1:13">
      <c r="A93" s="641"/>
      <c r="B93" s="641"/>
      <c r="C93" s="641"/>
      <c r="D93" s="641"/>
      <c r="E93" s="641"/>
      <c r="F93" s="641"/>
      <c r="G93" s="641"/>
      <c r="H93" s="641"/>
      <c r="I93" s="641"/>
      <c r="J93" s="641"/>
      <c r="K93" s="641"/>
      <c r="L93" s="641"/>
      <c r="M93" s="641"/>
    </row>
    <row r="94" spans="1:13">
      <c r="A94" s="641"/>
      <c r="B94" s="641"/>
      <c r="C94" s="641"/>
      <c r="D94" s="641"/>
      <c r="E94" s="641"/>
      <c r="F94" s="641"/>
      <c r="G94" s="641"/>
      <c r="H94" s="641"/>
      <c r="I94" s="641"/>
      <c r="J94" s="641"/>
      <c r="K94" s="641"/>
      <c r="L94" s="641"/>
      <c r="M94" s="641"/>
    </row>
    <row r="95" spans="1:13">
      <c r="A95" s="641"/>
      <c r="B95" s="641"/>
      <c r="C95" s="641"/>
      <c r="D95" s="641"/>
      <c r="E95" s="641"/>
      <c r="F95" s="641"/>
      <c r="G95" s="641"/>
      <c r="H95" s="641"/>
      <c r="I95" s="641"/>
      <c r="J95" s="641"/>
      <c r="K95" s="641"/>
      <c r="L95" s="641"/>
      <c r="M95" s="641"/>
    </row>
    <row r="96" spans="1:13">
      <c r="A96" s="641"/>
      <c r="B96" s="641"/>
      <c r="C96" s="641"/>
      <c r="D96" s="641"/>
      <c r="E96" s="641"/>
      <c r="F96" s="641"/>
      <c r="G96" s="641"/>
      <c r="H96" s="641"/>
      <c r="I96" s="641"/>
      <c r="J96" s="641"/>
      <c r="K96" s="641"/>
      <c r="L96" s="641"/>
      <c r="M96" s="641"/>
    </row>
    <row r="97" spans="1:13">
      <c r="A97" s="641"/>
      <c r="B97" s="641"/>
      <c r="C97" s="641"/>
      <c r="D97" s="641"/>
      <c r="E97" s="641"/>
      <c r="F97" s="641"/>
      <c r="G97" s="641"/>
      <c r="H97" s="641"/>
      <c r="I97" s="641"/>
      <c r="J97" s="641"/>
      <c r="K97" s="641"/>
      <c r="L97" s="641"/>
      <c r="M97" s="641"/>
    </row>
    <row r="98" spans="1:13">
      <c r="A98" s="641"/>
      <c r="B98" s="641"/>
      <c r="C98" s="641"/>
      <c r="D98" s="641"/>
      <c r="E98" s="641"/>
      <c r="F98" s="641"/>
      <c r="G98" s="641"/>
      <c r="H98" s="641"/>
      <c r="I98" s="641"/>
      <c r="J98" s="641"/>
      <c r="K98" s="641"/>
      <c r="L98" s="641"/>
      <c r="M98" s="641"/>
    </row>
    <row r="99" spans="1:13">
      <c r="A99" s="641"/>
      <c r="B99" s="641"/>
      <c r="C99" s="641"/>
      <c r="D99" s="641"/>
      <c r="E99" s="641"/>
      <c r="F99" s="641"/>
      <c r="G99" s="641"/>
      <c r="H99" s="641"/>
      <c r="I99" s="641"/>
      <c r="J99" s="641"/>
      <c r="K99" s="641"/>
      <c r="L99" s="641"/>
      <c r="M99" s="641"/>
    </row>
    <row r="100" spans="1:13">
      <c r="A100" s="641"/>
      <c r="B100" s="641"/>
      <c r="C100" s="641"/>
      <c r="D100" s="641"/>
      <c r="E100" s="641"/>
      <c r="F100" s="641"/>
      <c r="G100" s="641"/>
      <c r="H100" s="641"/>
      <c r="I100" s="641"/>
      <c r="J100" s="641"/>
      <c r="K100" s="641"/>
      <c r="L100" s="641"/>
      <c r="M100" s="641"/>
    </row>
    <row r="101" spans="1:13">
      <c r="A101" s="641"/>
      <c r="B101" s="641"/>
      <c r="C101" s="641"/>
      <c r="D101" s="641"/>
      <c r="E101" s="641"/>
      <c r="F101" s="641"/>
      <c r="G101" s="641"/>
      <c r="H101" s="641"/>
      <c r="I101" s="641"/>
      <c r="J101" s="641"/>
      <c r="K101" s="641"/>
      <c r="L101" s="641"/>
      <c r="M101" s="641"/>
    </row>
    <row r="102" spans="1:13">
      <c r="A102" s="641"/>
      <c r="B102" s="641"/>
      <c r="C102" s="641"/>
      <c r="D102" s="641"/>
      <c r="E102" s="641"/>
      <c r="F102" s="641"/>
      <c r="G102" s="641"/>
      <c r="H102" s="641"/>
      <c r="I102" s="641"/>
      <c r="J102" s="641"/>
      <c r="K102" s="641"/>
      <c r="L102" s="641"/>
      <c r="M102" s="641"/>
    </row>
  </sheetData>
  <sheetProtection selectLockedCells="1" selectUnlockedCells="1"/>
  <mergeCells count="2">
    <mergeCell ref="D22:G22"/>
    <mergeCell ref="D46:G4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outlinePr summaryBelow="0" summaryRight="0"/>
  </sheetPr>
  <dimension ref="A1:R110"/>
  <sheetViews>
    <sheetView showGridLines="0" workbookViewId="0" xr3:uid="{958C4451-9541-5A59-BF78-D2F731DF1C81}">
      <selection activeCell="D7" sqref="D7:H7"/>
    </sheetView>
  </sheetViews>
  <sheetFormatPr defaultColWidth="9.140625" defaultRowHeight="12.75"/>
  <cols>
    <col min="1" max="2" width="2.140625" style="32" customWidth="1"/>
    <col min="3" max="3" width="39.5703125" style="32" customWidth="1"/>
    <col min="4" max="4" width="12.28515625" style="32" customWidth="1"/>
    <col min="5" max="6" width="10.42578125" style="32" customWidth="1"/>
    <col min="7" max="7" width="10.140625" style="32" customWidth="1"/>
    <col min="8" max="8" width="9.5703125" style="32" customWidth="1"/>
    <col min="9" max="9" width="1.7109375" customWidth="1"/>
    <col min="10" max="10" width="0.85546875" customWidth="1"/>
    <col min="11" max="11" width="1.28515625" customWidth="1"/>
    <col min="12" max="12" width="22.5703125" customWidth="1"/>
    <col min="13" max="13" width="10.140625" customWidth="1"/>
    <col min="14" max="14" width="16.5703125" style="32" customWidth="1"/>
    <col min="15" max="15" width="3.7109375" style="105" customWidth="1"/>
    <col min="16" max="16" width="7" customWidth="1"/>
    <col min="17" max="17" width="1.140625" customWidth="1"/>
    <col min="18" max="18" width="1.7109375" customWidth="1"/>
  </cols>
  <sheetData>
    <row r="1" spans="1:18" s="59" customFormat="1" ht="37.5" customHeight="1">
      <c r="A1" s="270"/>
      <c r="B1" s="270"/>
      <c r="C1" s="270"/>
      <c r="D1" s="270"/>
      <c r="E1" s="270"/>
      <c r="F1" s="270"/>
      <c r="G1" s="270"/>
      <c r="H1" s="398"/>
      <c r="I1" s="398"/>
      <c r="J1" s="398"/>
      <c r="K1" s="398"/>
      <c r="L1" s="398"/>
      <c r="M1" s="398"/>
      <c r="N1" s="398"/>
      <c r="O1" s="398"/>
      <c r="P1" s="398"/>
      <c r="Q1" s="398"/>
      <c r="R1" s="637" t="s">
        <v>0</v>
      </c>
    </row>
    <row r="2" spans="1:18" ht="27">
      <c r="A2" s="4" t="s">
        <v>13</v>
      </c>
      <c r="B2" s="398"/>
      <c r="C2" s="398"/>
      <c r="D2" s="398"/>
      <c r="E2" s="398"/>
      <c r="F2" s="398"/>
      <c r="G2" s="398"/>
      <c r="H2" s="398"/>
      <c r="I2" s="398"/>
      <c r="J2" s="398"/>
      <c r="K2" s="398"/>
      <c r="L2" s="398"/>
      <c r="M2" s="275"/>
      <c r="N2" s="398"/>
      <c r="O2" s="398"/>
      <c r="P2" s="398"/>
      <c r="Q2" s="398"/>
      <c r="R2" s="638"/>
    </row>
    <row r="3" spans="1:18" ht="41.25" customHeight="1">
      <c r="A3" s="398"/>
      <c r="B3" s="764" t="s">
        <v>59</v>
      </c>
      <c r="C3" s="764"/>
      <c r="D3" s="764"/>
      <c r="E3" s="764"/>
      <c r="F3" s="764"/>
      <c r="G3" s="764"/>
      <c r="H3" s="764"/>
      <c r="I3" s="764"/>
      <c r="J3" s="764"/>
      <c r="K3" s="764"/>
      <c r="L3" s="764"/>
      <c r="M3" s="764"/>
      <c r="N3" s="764"/>
      <c r="O3" s="764"/>
      <c r="P3" s="764"/>
      <c r="Q3" s="398"/>
      <c r="R3" s="638"/>
    </row>
    <row r="4" spans="1:18" s="21" customFormat="1" ht="22.5">
      <c r="A4" s="3" t="s">
        <v>60</v>
      </c>
      <c r="B4" s="398"/>
      <c r="C4" s="276"/>
      <c r="D4" s="48"/>
      <c r="E4" s="48"/>
      <c r="F4" s="48"/>
      <c r="G4" s="48"/>
      <c r="H4" s="398"/>
      <c r="I4" s="398"/>
      <c r="J4" s="398"/>
      <c r="K4" s="3" t="s">
        <v>61</v>
      </c>
      <c r="L4" s="398"/>
      <c r="M4" s="398"/>
      <c r="N4" s="398"/>
      <c r="O4" s="398"/>
      <c r="P4" s="398"/>
      <c r="Q4" s="398"/>
      <c r="R4" s="638"/>
    </row>
    <row r="5" spans="1:18" s="21" customFormat="1" ht="40.5" customHeight="1">
      <c r="A5" s="398"/>
      <c r="B5" s="403"/>
      <c r="C5" s="767" t="s">
        <v>62</v>
      </c>
      <c r="D5" s="742"/>
      <c r="E5" s="742"/>
      <c r="F5" s="742"/>
      <c r="G5" s="742"/>
      <c r="H5" s="742"/>
      <c r="I5" s="81"/>
      <c r="J5" s="398"/>
      <c r="K5" s="398"/>
      <c r="L5" s="398"/>
      <c r="M5" s="398"/>
      <c r="N5" s="398"/>
      <c r="O5" s="398"/>
      <c r="P5" s="398"/>
      <c r="Q5" s="398"/>
      <c r="R5" s="638"/>
    </row>
    <row r="6" spans="1:18" s="59" customFormat="1" ht="15" thickBot="1">
      <c r="A6" s="398"/>
      <c r="B6" s="404" t="s">
        <v>63</v>
      </c>
      <c r="C6" s="665"/>
      <c r="D6" s="81"/>
      <c r="E6" s="81"/>
      <c r="F6" s="81"/>
      <c r="G6" s="81"/>
      <c r="H6" s="81"/>
      <c r="I6" s="81"/>
      <c r="J6" s="398"/>
      <c r="K6" s="398"/>
      <c r="L6" s="398"/>
      <c r="M6" s="398"/>
      <c r="N6" s="398"/>
      <c r="O6" s="398"/>
      <c r="P6" s="398"/>
      <c r="Q6" s="398"/>
      <c r="R6" s="638"/>
    </row>
    <row r="7" spans="1:18" s="21" customFormat="1" ht="39" thickBot="1">
      <c r="A7" s="398"/>
      <c r="B7" s="81"/>
      <c r="C7" s="664" t="s">
        <v>64</v>
      </c>
      <c r="D7" s="765" t="s">
        <v>65</v>
      </c>
      <c r="E7" s="730"/>
      <c r="F7" s="730"/>
      <c r="G7" s="730"/>
      <c r="H7" s="731"/>
      <c r="I7" s="81"/>
      <c r="J7" s="398"/>
      <c r="K7" s="398"/>
      <c r="L7" s="398"/>
      <c r="M7" s="398"/>
      <c r="N7" s="398"/>
      <c r="O7" s="398"/>
      <c r="P7" s="398"/>
      <c r="Q7" s="398"/>
      <c r="R7" s="638"/>
    </row>
    <row r="8" spans="1:18" s="52" customFormat="1" ht="4.5" customHeight="1" thickBot="1">
      <c r="A8" s="398"/>
      <c r="B8" s="81"/>
      <c r="C8" s="664"/>
      <c r="D8" s="664"/>
      <c r="E8" s="664"/>
      <c r="F8" s="664"/>
      <c r="G8" s="664"/>
      <c r="H8" s="664"/>
      <c r="I8" s="81"/>
      <c r="J8" s="398"/>
      <c r="K8" s="398"/>
      <c r="L8" s="398"/>
      <c r="M8" s="398"/>
      <c r="N8" s="398"/>
      <c r="O8" s="398"/>
      <c r="P8" s="398"/>
      <c r="Q8" s="398"/>
      <c r="R8" s="638"/>
    </row>
    <row r="9" spans="1:18" s="1" customFormat="1" ht="13.5" thickBot="1">
      <c r="A9" s="398"/>
      <c r="B9" s="81"/>
      <c r="C9" s="664" t="s">
        <v>66</v>
      </c>
      <c r="D9" s="768" t="s">
        <v>67</v>
      </c>
      <c r="E9" s="769"/>
      <c r="F9" s="769"/>
      <c r="G9" s="769"/>
      <c r="H9" s="770"/>
      <c r="I9" s="81"/>
      <c r="J9" s="398"/>
      <c r="K9" s="398"/>
      <c r="L9" s="398"/>
      <c r="M9" s="398"/>
      <c r="N9" s="398"/>
      <c r="O9" s="398"/>
      <c r="P9" s="398"/>
      <c r="Q9" s="398"/>
      <c r="R9" s="638"/>
    </row>
    <row r="10" spans="1:18" s="21" customFormat="1" ht="60" customHeight="1" thickBot="1">
      <c r="A10" s="398"/>
      <c r="B10" s="81"/>
      <c r="C10" s="766" t="s">
        <v>68</v>
      </c>
      <c r="D10" s="749"/>
      <c r="E10" s="749"/>
      <c r="F10" s="749"/>
      <c r="G10" s="749"/>
      <c r="H10" s="749"/>
      <c r="I10" s="81"/>
      <c r="J10" s="398"/>
      <c r="K10" s="398"/>
      <c r="L10" s="398"/>
      <c r="M10" s="398"/>
      <c r="N10" s="398"/>
      <c r="O10" s="398"/>
      <c r="P10" s="398"/>
      <c r="Q10" s="398"/>
      <c r="R10" s="638"/>
    </row>
    <row r="11" spans="1:18" s="59" customFormat="1" ht="13.5" thickBot="1">
      <c r="A11" s="398"/>
      <c r="B11" s="81"/>
      <c r="C11" s="664" t="s">
        <v>69</v>
      </c>
      <c r="D11" s="729" t="str">
        <f>ProjectType</f>
        <v>Data Center / Server</v>
      </c>
      <c r="E11" s="730"/>
      <c r="F11" s="730"/>
      <c r="G11" s="730"/>
      <c r="H11" s="731"/>
      <c r="I11" s="81"/>
      <c r="J11" s="398"/>
      <c r="K11" s="398"/>
      <c r="L11" s="398"/>
      <c r="M11" s="398"/>
      <c r="N11" s="398"/>
      <c r="O11" s="398"/>
      <c r="P11" s="398"/>
      <c r="Q11" s="398"/>
      <c r="R11" s="638"/>
    </row>
    <row r="12" spans="1:18" s="75" customFormat="1" ht="6" customHeight="1">
      <c r="A12" s="398"/>
      <c r="B12" s="81"/>
      <c r="C12" s="86"/>
      <c r="D12" s="86"/>
      <c r="E12" s="86"/>
      <c r="F12" s="86"/>
      <c r="G12" s="86"/>
      <c r="H12" s="86"/>
      <c r="I12" s="81"/>
      <c r="J12" s="398"/>
      <c r="K12" s="398"/>
      <c r="L12" s="398"/>
      <c r="M12" s="398"/>
      <c r="N12" s="398"/>
      <c r="O12" s="398"/>
      <c r="P12" s="398"/>
      <c r="Q12" s="398"/>
      <c r="R12" s="638"/>
    </row>
    <row r="13" spans="1:18" s="75" customFormat="1" ht="13.5" thickBot="1">
      <c r="A13" s="398"/>
      <c r="B13" s="81"/>
      <c r="C13" s="284" t="s">
        <v>70</v>
      </c>
      <c r="D13" s="86"/>
      <c r="E13" s="86"/>
      <c r="F13" s="86"/>
      <c r="G13" s="86"/>
      <c r="H13" s="86"/>
      <c r="I13" s="81"/>
      <c r="J13" s="398"/>
      <c r="K13" s="398"/>
      <c r="L13" s="398"/>
      <c r="M13" s="398"/>
      <c r="N13" s="398"/>
      <c r="O13" s="398"/>
      <c r="P13" s="398"/>
      <c r="Q13" s="398"/>
      <c r="R13" s="638"/>
    </row>
    <row r="14" spans="1:18" s="59" customFormat="1" ht="71.25" customHeight="1" thickBot="1">
      <c r="A14" s="398"/>
      <c r="B14" s="81"/>
      <c r="C14" s="729" t="str">
        <f>INDEX(Solution!$C$6:$C$26,MATCH(ProjectType,Solution!$B$6:$B$26,0))</f>
        <v>• Virtualization, consolidation, clustering, real-time infrastructure, self-service provisioning, power and cooling
• Improved performance, reliability, manageability, security
• Multi-core, 64-bit, RISC/Itanium, x86
• Web servers, application servers, DBMS servers, data warehouse servers, infrastructure servers, high performance computing servers</v>
      </c>
      <c r="D14" s="730"/>
      <c r="E14" s="730"/>
      <c r="F14" s="730"/>
      <c r="G14" s="730"/>
      <c r="H14" s="731"/>
      <c r="I14" s="81"/>
      <c r="J14" s="398"/>
      <c r="K14" s="398"/>
      <c r="L14" s="398"/>
      <c r="M14" s="398"/>
      <c r="N14" s="398"/>
      <c r="O14" s="398"/>
      <c r="P14" s="398"/>
      <c r="Q14" s="398"/>
      <c r="R14" s="638"/>
    </row>
    <row r="15" spans="1:18" s="75" customFormat="1" ht="13.5" thickBot="1">
      <c r="A15" s="398"/>
      <c r="B15" s="81"/>
      <c r="C15" s="284" t="s">
        <v>71</v>
      </c>
      <c r="D15" s="86"/>
      <c r="E15" s="86"/>
      <c r="F15" s="86"/>
      <c r="G15" s="86"/>
      <c r="H15" s="86"/>
      <c r="I15" s="81"/>
      <c r="J15" s="398"/>
      <c r="K15" s="398"/>
      <c r="L15" s="398"/>
      <c r="M15" s="398"/>
      <c r="N15" s="398"/>
      <c r="O15" s="398"/>
      <c r="P15" s="398"/>
      <c r="Q15" s="398"/>
      <c r="R15" s="638"/>
    </row>
    <row r="16" spans="1:18" s="59" customFormat="1" ht="37.5" customHeight="1" thickBot="1">
      <c r="A16" s="398"/>
      <c r="B16" s="81"/>
      <c r="C16" s="729" t="str">
        <f>INDEX(Solution!$D$6:$D$26,MATCH(ProjectType,Solution!$B$6:$B$26,0))</f>
        <v>• Microsoft Windows Server, Novell SUSE, Red hat, Unix, Solaris, IBM AIX, HP–UX
• IBM, HP, Dell, Sun, Fujitsu, Bull</v>
      </c>
      <c r="D16" s="730"/>
      <c r="E16" s="730"/>
      <c r="F16" s="730"/>
      <c r="G16" s="730"/>
      <c r="H16" s="731"/>
      <c r="I16" s="81"/>
      <c r="J16" s="398"/>
      <c r="K16" s="398"/>
      <c r="L16" s="398"/>
      <c r="M16" s="398"/>
      <c r="N16" s="398"/>
      <c r="O16" s="398"/>
      <c r="P16" s="398"/>
      <c r="Q16" s="398"/>
      <c r="R16" s="638"/>
    </row>
    <row r="17" spans="1:18" ht="15">
      <c r="A17" s="398"/>
      <c r="B17" s="81"/>
      <c r="C17" s="81"/>
      <c r="D17" s="81"/>
      <c r="E17" s="81"/>
      <c r="F17" s="81"/>
      <c r="G17" s="81"/>
      <c r="H17" s="81"/>
      <c r="I17" s="81"/>
      <c r="J17" s="398"/>
      <c r="K17" s="398"/>
      <c r="L17" s="121" t="s">
        <v>72</v>
      </c>
      <c r="M17" s="398"/>
      <c r="N17" s="398"/>
      <c r="O17" s="398"/>
      <c r="P17" s="398"/>
      <c r="Q17" s="398"/>
      <c r="R17" s="638"/>
    </row>
    <row r="18" spans="1:18" ht="26.25" thickBot="1">
      <c r="A18" s="398"/>
      <c r="B18" s="404" t="s">
        <v>73</v>
      </c>
      <c r="C18" s="665"/>
      <c r="D18" s="81"/>
      <c r="E18" s="81"/>
      <c r="F18" s="81"/>
      <c r="G18" s="81"/>
      <c r="H18" s="81"/>
      <c r="I18" s="81"/>
      <c r="J18" s="398"/>
      <c r="K18" s="398"/>
      <c r="L18" s="42"/>
      <c r="M18" s="671" t="str">
        <f>ROI!E7</f>
        <v>Per User</v>
      </c>
      <c r="N18" s="671" t="str">
        <f>ROI!F7</f>
        <v>Organization Total (000)</v>
      </c>
      <c r="O18" s="398"/>
      <c r="P18" s="398"/>
      <c r="Q18" s="398"/>
      <c r="R18" s="638"/>
    </row>
    <row r="19" spans="1:18">
      <c r="A19" s="398"/>
      <c r="B19" s="81"/>
      <c r="C19" s="664" t="s">
        <v>74</v>
      </c>
      <c r="D19" s="772" t="str">
        <f>CoNameDefault</f>
        <v>CompanyName</v>
      </c>
      <c r="E19" s="773"/>
      <c r="F19" s="773"/>
      <c r="G19" s="773"/>
      <c r="H19" s="774"/>
      <c r="I19" s="81"/>
      <c r="J19" s="398"/>
      <c r="K19" s="398"/>
      <c r="L19" s="277" t="str">
        <f>ROI!D8</f>
        <v>Costs</v>
      </c>
      <c r="M19" s="697">
        <f>ROI!E8</f>
        <v>149.2571270096926</v>
      </c>
      <c r="N19" s="697">
        <f>ROI!F8</f>
        <v>410.78440548007399</v>
      </c>
      <c r="O19" s="398"/>
      <c r="P19" s="398"/>
      <c r="Q19" s="398"/>
      <c r="R19" s="638"/>
    </row>
    <row r="20" spans="1:18">
      <c r="A20" s="398"/>
      <c r="B20" s="81"/>
      <c r="C20" s="757" t="s">
        <v>75</v>
      </c>
      <c r="D20" s="758" t="str">
        <f>IndustryDefault</f>
        <v>Average or combination</v>
      </c>
      <c r="E20" s="759"/>
      <c r="F20" s="759"/>
      <c r="G20" s="759"/>
      <c r="H20" s="760"/>
      <c r="I20" s="81"/>
      <c r="J20" s="398"/>
      <c r="K20" s="398"/>
      <c r="L20" s="277" t="str">
        <f>ROI!D9</f>
        <v>Benefits</v>
      </c>
      <c r="M20" s="697">
        <f>ROI!E9</f>
        <v>1057.058692141946</v>
      </c>
      <c r="N20" s="697">
        <f>ROI!F9</f>
        <v>2909.2294291640483</v>
      </c>
      <c r="O20" s="398"/>
      <c r="P20" s="398"/>
      <c r="Q20" s="398"/>
      <c r="R20" s="638"/>
    </row>
    <row r="21" spans="1:18" s="105" customFormat="1" ht="13.5" thickBot="1">
      <c r="A21" s="398"/>
      <c r="B21" s="81"/>
      <c r="C21" s="757"/>
      <c r="D21" s="761"/>
      <c r="E21" s="762"/>
      <c r="F21" s="762"/>
      <c r="G21" s="762"/>
      <c r="H21" s="763"/>
      <c r="I21" s="81"/>
      <c r="J21" s="398"/>
      <c r="K21" s="398"/>
      <c r="L21" s="277" t="str">
        <f>ROI!D10</f>
        <v>Net Benefits</v>
      </c>
      <c r="M21" s="697">
        <f>ROI!E10</f>
        <v>907.80156513225347</v>
      </c>
      <c r="N21" s="697">
        <f>ROI!F10</f>
        <v>2498.4450236839743</v>
      </c>
      <c r="O21" s="398"/>
      <c r="P21" s="398"/>
      <c r="Q21" s="398"/>
      <c r="R21" s="638"/>
    </row>
    <row r="22" spans="1:18" ht="13.5" thickBot="1">
      <c r="A22" s="398"/>
      <c r="B22" s="81"/>
      <c r="C22" s="424" t="s">
        <v>76</v>
      </c>
      <c r="D22" s="81"/>
      <c r="E22" s="81"/>
      <c r="F22" s="81"/>
      <c r="G22" s="81"/>
      <c r="H22" s="81"/>
      <c r="I22" s="81"/>
      <c r="J22" s="398"/>
      <c r="K22" s="398"/>
      <c r="L22" s="277" t="str">
        <f>ROI!D11</f>
        <v>NPV (Net Present Value)</v>
      </c>
      <c r="M22" s="697">
        <f>ROI!E11</f>
        <v>702.67821899384023</v>
      </c>
      <c r="N22" s="697">
        <f>ROI!F11</f>
        <v>1933.9060064745674</v>
      </c>
      <c r="O22" s="398"/>
      <c r="P22" s="398"/>
      <c r="Q22" s="398"/>
      <c r="R22" s="638"/>
    </row>
    <row r="23" spans="1:18" s="54" customFormat="1" ht="15.75" customHeight="1">
      <c r="A23" s="398"/>
      <c r="B23" s="81"/>
      <c r="C23" s="757" t="s">
        <v>77</v>
      </c>
      <c r="D23" s="772" t="str">
        <f>CountryDefault</f>
        <v>NORTH AMERICA - United States</v>
      </c>
      <c r="E23" s="775"/>
      <c r="F23" s="775"/>
      <c r="G23" s="775"/>
      <c r="H23" s="776"/>
      <c r="I23" s="81"/>
      <c r="J23" s="398"/>
      <c r="K23" s="398"/>
      <c r="L23" s="277" t="str">
        <f>ROI!D12</f>
        <v>ROI</v>
      </c>
      <c r="M23" s="743">
        <f>ROI!E12</f>
        <v>6.0821321120116547</v>
      </c>
      <c r="N23" s="743"/>
      <c r="O23" s="398"/>
      <c r="P23" s="398"/>
      <c r="Q23" s="398"/>
      <c r="R23" s="638"/>
    </row>
    <row r="24" spans="1:18" s="105" customFormat="1" ht="13.5" thickBot="1">
      <c r="A24" s="398"/>
      <c r="B24" s="81"/>
      <c r="C24" s="757"/>
      <c r="D24" s="777"/>
      <c r="E24" s="778"/>
      <c r="F24" s="778"/>
      <c r="G24" s="778"/>
      <c r="H24" s="779"/>
      <c r="I24" s="81"/>
      <c r="J24" s="398"/>
      <c r="K24" s="398"/>
      <c r="L24" s="277" t="str">
        <f>ROI!D13</f>
        <v>IRR (Internal Rate of Return)</v>
      </c>
      <c r="M24" s="743">
        <f>ROI!E13</f>
        <v>2.1557084648617204</v>
      </c>
      <c r="N24" s="743"/>
      <c r="O24" s="398"/>
      <c r="P24" s="398"/>
      <c r="Q24" s="398"/>
      <c r="R24" s="638"/>
    </row>
    <row r="25" spans="1:18">
      <c r="A25" s="398"/>
      <c r="B25" s="81"/>
      <c r="C25" s="747" t="s">
        <v>78</v>
      </c>
      <c r="D25" s="745"/>
      <c r="E25" s="745"/>
      <c r="F25" s="745"/>
      <c r="G25" s="745"/>
      <c r="H25" s="745"/>
      <c r="I25" s="81"/>
      <c r="J25" s="398"/>
      <c r="K25" s="398"/>
      <c r="L25" s="277" t="str">
        <f>ROI!D14</f>
        <v>Payback Period (Months)**</v>
      </c>
      <c r="M25" s="751">
        <f>ROI!E14</f>
        <v>5.4856325121631979</v>
      </c>
      <c r="N25" s="751"/>
      <c r="O25" s="398"/>
      <c r="P25" s="398"/>
      <c r="Q25" s="398"/>
      <c r="R25" s="638"/>
    </row>
    <row r="26" spans="1:18" s="59" customFormat="1" ht="14.25">
      <c r="A26" s="398"/>
      <c r="B26" s="404" t="s">
        <v>79</v>
      </c>
      <c r="C26" s="665"/>
      <c r="D26" s="81"/>
      <c r="E26" s="81"/>
      <c r="F26" s="81"/>
      <c r="G26" s="81"/>
      <c r="H26" s="81"/>
      <c r="I26" s="81"/>
      <c r="J26" s="398"/>
      <c r="K26" s="398"/>
      <c r="L26" s="148" t="str">
        <f>ROI!D16</f>
        <v>*Return on Investment - [Net Benefits / Total Costs]</v>
      </c>
      <c r="M26" s="398"/>
      <c r="N26" s="398"/>
      <c r="O26" s="398"/>
      <c r="P26" s="398"/>
      <c r="Q26" s="398"/>
      <c r="R26" s="638"/>
    </row>
    <row r="27" spans="1:18" ht="39.75" customHeight="1" thickBot="1">
      <c r="A27" s="398"/>
      <c r="B27" s="81"/>
      <c r="C27" s="771" t="s">
        <v>80</v>
      </c>
      <c r="D27" s="745">
        <v>1</v>
      </c>
      <c r="E27" s="745"/>
      <c r="F27" s="745"/>
      <c r="G27" s="745"/>
      <c r="H27" s="745"/>
      <c r="I27" s="81"/>
      <c r="J27" s="398"/>
      <c r="K27" s="398"/>
      <c r="L27" s="278" t="str">
        <f>ROI!D17</f>
        <v>**From when benefits start to accrue</v>
      </c>
      <c r="M27" s="398"/>
      <c r="N27" s="398"/>
      <c r="O27" s="398"/>
      <c r="P27" s="398"/>
      <c r="Q27" s="398"/>
      <c r="R27" s="638"/>
    </row>
    <row r="28" spans="1:18" ht="14.25">
      <c r="A28" s="398"/>
      <c r="B28" s="405"/>
      <c r="C28" s="191" t="s">
        <v>81</v>
      </c>
      <c r="D28" s="813">
        <f>EmployeesDefault</f>
        <v>5000</v>
      </c>
      <c r="E28" s="814"/>
      <c r="F28" s="83" t="s">
        <v>82</v>
      </c>
      <c r="G28" s="82"/>
      <c r="H28" s="532">
        <f>Revenue*1000/Employees</f>
        <v>446.70071346166094</v>
      </c>
      <c r="I28" s="81"/>
      <c r="J28" s="398"/>
      <c r="K28" s="398"/>
      <c r="L28" s="398"/>
      <c r="M28" s="398"/>
      <c r="N28" s="398"/>
      <c r="O28" s="398"/>
      <c r="P28" s="398"/>
      <c r="Q28" s="398"/>
      <c r="R28" s="638"/>
    </row>
    <row r="29" spans="1:18">
      <c r="A29" s="398"/>
      <c r="B29" s="81"/>
      <c r="C29" s="130" t="s">
        <v>83</v>
      </c>
      <c r="D29" s="815">
        <f>RevenueDefault</f>
        <v>2233.5035673083048</v>
      </c>
      <c r="E29" s="816"/>
      <c r="F29" s="84" t="s">
        <v>84</v>
      </c>
      <c r="G29" s="81"/>
      <c r="H29" s="81"/>
      <c r="I29" s="81"/>
      <c r="J29" s="398"/>
      <c r="K29" s="398"/>
      <c r="L29" s="398"/>
      <c r="M29" s="398"/>
      <c r="N29" s="398"/>
      <c r="O29" s="398"/>
      <c r="P29" s="398"/>
      <c r="Q29" s="398"/>
      <c r="R29" s="638"/>
    </row>
    <row r="30" spans="1:18" s="21" customFormat="1">
      <c r="A30" s="398"/>
      <c r="B30" s="81"/>
      <c r="C30" s="130" t="s">
        <v>85</v>
      </c>
      <c r="D30" s="817">
        <f>PCUsersDefault</f>
        <v>2752.1929016722806</v>
      </c>
      <c r="E30" s="818"/>
      <c r="F30" s="83" t="str">
        <f>R30&amp;TEXT(PCUsers/Employees,"0%")</f>
        <v>PC users as a % of employees: 55%</v>
      </c>
      <c r="G30" s="85"/>
      <c r="H30" s="85"/>
      <c r="I30" s="81"/>
      <c r="J30" s="398"/>
      <c r="K30" s="398"/>
      <c r="L30" s="398"/>
      <c r="M30" s="398"/>
      <c r="N30" s="398"/>
      <c r="O30" s="398"/>
      <c r="P30" s="398"/>
      <c r="Q30" s="398"/>
      <c r="R30" s="638" t="s">
        <v>86</v>
      </c>
    </row>
    <row r="31" spans="1:18" ht="15" customHeight="1" thickBot="1">
      <c r="A31" s="398"/>
      <c r="B31" s="81"/>
      <c r="C31" s="130" t="s">
        <v>87</v>
      </c>
      <c r="D31" s="819">
        <f>PCsDefault</f>
        <v>3275.109552990014</v>
      </c>
      <c r="E31" s="820"/>
      <c r="F31" s="83" t="str">
        <f>R31&amp;TEXT(PCs/PCUsers,"0.0")</f>
        <v>Average PCs per PC User: 1.2</v>
      </c>
      <c r="G31" s="85"/>
      <c r="H31" s="85"/>
      <c r="I31" s="81"/>
      <c r="J31" s="398"/>
      <c r="K31" s="398"/>
      <c r="L31" s="398"/>
      <c r="M31" s="398"/>
      <c r="N31" s="398"/>
      <c r="O31" s="398"/>
      <c r="P31" s="398"/>
      <c r="Q31" s="398"/>
      <c r="R31" s="637" t="s">
        <v>88</v>
      </c>
    </row>
    <row r="32" spans="1:18" s="50" customFormat="1" ht="24.75" customHeight="1">
      <c r="A32" s="270"/>
      <c r="B32" s="85"/>
      <c r="C32" s="747" t="s">
        <v>89</v>
      </c>
      <c r="D32" s="745"/>
      <c r="E32" s="745"/>
      <c r="F32" s="745"/>
      <c r="G32" s="745"/>
      <c r="H32" s="745"/>
      <c r="I32" s="85"/>
      <c r="J32" s="398"/>
      <c r="K32" s="270"/>
      <c r="L32" s="398"/>
      <c r="M32" s="398"/>
      <c r="N32" s="398"/>
      <c r="O32" s="398"/>
      <c r="P32" s="398"/>
      <c r="Q32" s="398"/>
      <c r="R32" s="638"/>
    </row>
    <row r="33" spans="1:18" s="21" customFormat="1" ht="6.75" customHeight="1">
      <c r="A33" s="398"/>
      <c r="B33" s="81"/>
      <c r="C33" s="398"/>
      <c r="D33" s="398"/>
      <c r="E33" s="398"/>
      <c r="F33" s="398"/>
      <c r="G33" s="398"/>
      <c r="H33" s="398"/>
      <c r="I33" s="81"/>
      <c r="J33" s="398"/>
      <c r="K33" s="398"/>
      <c r="L33" s="398"/>
      <c r="M33" s="398"/>
      <c r="N33" s="398"/>
      <c r="O33" s="398"/>
      <c r="P33" s="398"/>
      <c r="Q33" s="398"/>
      <c r="R33" s="638"/>
    </row>
    <row r="34" spans="1:18" s="75" customFormat="1" ht="14.25">
      <c r="A34" s="398"/>
      <c r="B34" s="404" t="s">
        <v>90</v>
      </c>
      <c r="C34" s="670"/>
      <c r="D34" s="398"/>
      <c r="E34" s="398"/>
      <c r="F34" s="398"/>
      <c r="G34" s="398"/>
      <c r="H34" s="398"/>
      <c r="I34" s="81"/>
      <c r="J34" s="398"/>
      <c r="K34" s="398"/>
      <c r="L34" s="398"/>
      <c r="M34" s="398"/>
      <c r="N34" s="398"/>
      <c r="O34" s="398"/>
      <c r="P34" s="398"/>
      <c r="Q34" s="398"/>
      <c r="R34" s="638"/>
    </row>
    <row r="35" spans="1:18" s="75" customFormat="1" ht="13.5" thickBot="1">
      <c r="A35" s="398"/>
      <c r="B35" s="81"/>
      <c r="C35" s="755" t="s">
        <v>91</v>
      </c>
      <c r="D35" s="756"/>
      <c r="E35" s="756"/>
      <c r="F35" s="756"/>
      <c r="G35" s="756"/>
      <c r="H35" s="756"/>
      <c r="I35" s="81"/>
      <c r="J35" s="398"/>
      <c r="K35" s="398"/>
      <c r="L35" s="398"/>
      <c r="M35" s="398"/>
      <c r="N35" s="398"/>
      <c r="O35" s="398"/>
      <c r="P35" s="398"/>
      <c r="Q35" s="398"/>
      <c r="R35" s="638"/>
    </row>
    <row r="36" spans="1:18" s="75" customFormat="1" ht="30" customHeight="1">
      <c r="A36" s="398"/>
      <c r="B36" s="81"/>
      <c r="C36" s="130" t="s">
        <v>92</v>
      </c>
      <c r="D36" s="732" t="s">
        <v>93</v>
      </c>
      <c r="E36" s="733"/>
      <c r="F36" s="733"/>
      <c r="G36" s="733"/>
      <c r="H36" s="734"/>
      <c r="I36" s="81"/>
      <c r="J36" s="398"/>
      <c r="K36" s="398"/>
      <c r="L36" s="398"/>
      <c r="M36" s="398"/>
      <c r="N36" s="398"/>
      <c r="O36" s="398"/>
      <c r="P36" s="398"/>
      <c r="Q36" s="398"/>
      <c r="R36" s="638"/>
    </row>
    <row r="37" spans="1:18" s="75" customFormat="1" ht="30" customHeight="1">
      <c r="A37" s="398"/>
      <c r="B37" s="81"/>
      <c r="C37" s="130" t="s">
        <v>94</v>
      </c>
      <c r="D37" s="735" t="s">
        <v>93</v>
      </c>
      <c r="E37" s="736"/>
      <c r="F37" s="736"/>
      <c r="G37" s="736"/>
      <c r="H37" s="737"/>
      <c r="I37" s="81"/>
      <c r="J37" s="398"/>
      <c r="K37" s="398"/>
      <c r="L37" s="398"/>
      <c r="M37" s="398"/>
      <c r="N37" s="398"/>
      <c r="O37" s="398"/>
      <c r="P37" s="398"/>
      <c r="Q37" s="398"/>
      <c r="R37" s="638"/>
    </row>
    <row r="38" spans="1:18" s="75" customFormat="1" ht="30" customHeight="1">
      <c r="A38" s="398"/>
      <c r="B38" s="81"/>
      <c r="C38" s="130" t="s">
        <v>95</v>
      </c>
      <c r="D38" s="735" t="s">
        <v>93</v>
      </c>
      <c r="E38" s="736"/>
      <c r="F38" s="736"/>
      <c r="G38" s="736"/>
      <c r="H38" s="737"/>
      <c r="I38" s="81"/>
      <c r="J38" s="398"/>
      <c r="K38" s="398"/>
      <c r="L38" s="398"/>
      <c r="M38" s="398"/>
      <c r="N38" s="398"/>
      <c r="O38" s="398"/>
      <c r="P38" s="398"/>
      <c r="Q38" s="398"/>
      <c r="R38" s="638"/>
    </row>
    <row r="39" spans="1:18" s="75" customFormat="1" ht="30" customHeight="1" thickBot="1">
      <c r="A39" s="398"/>
      <c r="B39" s="81"/>
      <c r="C39" s="130" t="s">
        <v>96</v>
      </c>
      <c r="D39" s="738" t="s">
        <v>93</v>
      </c>
      <c r="E39" s="739"/>
      <c r="F39" s="739"/>
      <c r="G39" s="739"/>
      <c r="H39" s="740"/>
      <c r="I39" s="81"/>
      <c r="J39" s="398"/>
      <c r="K39" s="398"/>
      <c r="L39" s="398"/>
      <c r="M39" s="398"/>
      <c r="N39" s="398"/>
      <c r="O39" s="398"/>
      <c r="P39" s="398"/>
      <c r="Q39" s="398"/>
      <c r="R39" s="638"/>
    </row>
    <row r="40" spans="1:18" s="105" customFormat="1" ht="22.5" customHeight="1">
      <c r="A40" s="398"/>
      <c r="B40" s="404" t="s">
        <v>97</v>
      </c>
      <c r="C40" s="670"/>
      <c r="D40" s="398"/>
      <c r="E40" s="398"/>
      <c r="F40" s="398"/>
      <c r="G40" s="398"/>
      <c r="H40" s="398"/>
      <c r="I40" s="81"/>
      <c r="J40" s="398"/>
      <c r="K40" s="398"/>
      <c r="L40" s="398"/>
      <c r="M40" s="398"/>
      <c r="N40" s="398"/>
      <c r="O40" s="398"/>
      <c r="P40" s="398"/>
      <c r="Q40" s="398"/>
      <c r="R40" s="638"/>
    </row>
    <row r="41" spans="1:18" s="105" customFormat="1" ht="48" customHeight="1">
      <c r="A41" s="398"/>
      <c r="B41" s="404"/>
      <c r="C41" s="747" t="s">
        <v>98</v>
      </c>
      <c r="D41" s="745"/>
      <c r="E41" s="745"/>
      <c r="F41" s="745"/>
      <c r="G41" s="745"/>
      <c r="H41" s="745"/>
      <c r="I41" s="81"/>
      <c r="J41" s="398"/>
      <c r="K41" s="398"/>
      <c r="L41" s="270"/>
      <c r="M41" s="398"/>
      <c r="N41" s="398"/>
      <c r="O41" s="398"/>
      <c r="P41" s="398"/>
      <c r="Q41" s="398"/>
      <c r="R41" s="638"/>
    </row>
    <row r="42" spans="1:18" s="105" customFormat="1" ht="15" thickBot="1">
      <c r="A42" s="398"/>
      <c r="B42" s="404"/>
      <c r="C42" s="664" t="s">
        <v>99</v>
      </c>
      <c r="D42" s="398"/>
      <c r="E42" s="398"/>
      <c r="F42" s="398"/>
      <c r="G42" s="398"/>
      <c r="H42" s="398"/>
      <c r="I42" s="81"/>
      <c r="J42" s="398"/>
      <c r="K42" s="398"/>
      <c r="L42" s="398"/>
      <c r="M42" s="398"/>
      <c r="N42" s="398"/>
      <c r="O42" s="398"/>
      <c r="P42" s="398"/>
      <c r="Q42" s="398"/>
      <c r="R42" s="638"/>
    </row>
    <row r="43" spans="1:18" s="105" customFormat="1" ht="15" thickBot="1">
      <c r="A43" s="398"/>
      <c r="B43" s="404"/>
      <c r="C43" s="729" t="s">
        <v>100</v>
      </c>
      <c r="D43" s="730"/>
      <c r="E43" s="730"/>
      <c r="F43" s="730"/>
      <c r="G43" s="730"/>
      <c r="H43" s="731"/>
      <c r="I43" s="81"/>
      <c r="J43" s="398"/>
      <c r="K43" s="398"/>
      <c r="L43" s="398"/>
      <c r="M43" s="398"/>
      <c r="N43" s="398"/>
      <c r="O43" s="398"/>
      <c r="P43" s="398"/>
      <c r="Q43" s="398"/>
      <c r="R43" s="638"/>
    </row>
    <row r="44" spans="1:18" s="105" customFormat="1" ht="15" thickBot="1">
      <c r="A44" s="398"/>
      <c r="B44" s="404"/>
      <c r="C44" s="124" t="s">
        <v>101</v>
      </c>
      <c r="D44" s="398"/>
      <c r="E44" s="398"/>
      <c r="F44" s="398"/>
      <c r="G44" s="398"/>
      <c r="H44" s="398"/>
      <c r="I44" s="81"/>
      <c r="J44" s="398"/>
      <c r="K44" s="398"/>
      <c r="L44" s="398"/>
      <c r="M44" s="398"/>
      <c r="N44" s="398"/>
      <c r="O44" s="398"/>
      <c r="P44" s="398"/>
      <c r="Q44" s="398"/>
      <c r="R44" s="638"/>
    </row>
    <row r="45" spans="1:18" s="52" customFormat="1" ht="15" thickBot="1">
      <c r="A45" s="398"/>
      <c r="B45" s="404"/>
      <c r="C45" s="729" t="s">
        <v>102</v>
      </c>
      <c r="D45" s="730"/>
      <c r="E45" s="730"/>
      <c r="F45" s="730"/>
      <c r="G45" s="730"/>
      <c r="H45" s="731"/>
      <c r="I45" s="81"/>
      <c r="J45" s="398"/>
      <c r="K45" s="398"/>
      <c r="L45" s="398"/>
      <c r="M45" s="398"/>
      <c r="N45" s="398"/>
      <c r="O45" s="398"/>
      <c r="P45" s="398"/>
      <c r="Q45" s="398"/>
      <c r="R45" s="638"/>
    </row>
    <row r="46" spans="1:18" s="21" customFormat="1" ht="6" customHeight="1">
      <c r="A46" s="398"/>
      <c r="B46" s="81"/>
      <c r="C46" s="754"/>
      <c r="D46" s="754"/>
      <c r="E46" s="754"/>
      <c r="F46" s="754"/>
      <c r="G46" s="754"/>
      <c r="H46" s="754"/>
      <c r="I46" s="81"/>
      <c r="J46" s="398"/>
      <c r="K46" s="398"/>
      <c r="L46" s="398"/>
      <c r="M46" s="398"/>
      <c r="N46" s="398"/>
      <c r="O46" s="398"/>
      <c r="P46" s="398"/>
      <c r="Q46" s="398"/>
      <c r="R46" s="638"/>
    </row>
    <row r="47" spans="1:18" ht="22.5">
      <c r="A47" s="3" t="s">
        <v>103</v>
      </c>
      <c r="B47" s="398"/>
      <c r="C47" s="276"/>
      <c r="D47" s="398"/>
      <c r="E47" s="398"/>
      <c r="F47" s="398"/>
      <c r="G47" s="398"/>
      <c r="H47" s="398"/>
      <c r="I47" s="398"/>
      <c r="J47" s="398"/>
      <c r="K47" s="398"/>
      <c r="L47" s="398"/>
      <c r="M47" s="398"/>
      <c r="N47" s="398"/>
      <c r="O47" s="398"/>
      <c r="P47" s="398"/>
      <c r="Q47" s="398"/>
      <c r="R47" s="638"/>
    </row>
    <row r="48" spans="1:18" s="21" customFormat="1" ht="27" customHeight="1">
      <c r="A48" s="398"/>
      <c r="B48" s="53"/>
      <c r="C48" s="741" t="s">
        <v>104</v>
      </c>
      <c r="D48" s="742"/>
      <c r="E48" s="742"/>
      <c r="F48" s="742"/>
      <c r="G48" s="742"/>
      <c r="H48" s="742"/>
      <c r="I48" s="53"/>
      <c r="J48" s="398"/>
      <c r="K48" s="398"/>
      <c r="L48" s="398"/>
      <c r="M48" s="398"/>
      <c r="N48" s="398"/>
      <c r="O48" s="398"/>
      <c r="P48" s="398"/>
      <c r="Q48" s="398"/>
      <c r="R48" s="638"/>
    </row>
    <row r="49" spans="1:18" s="75" customFormat="1" ht="15" thickBot="1">
      <c r="A49" s="398"/>
      <c r="B49" s="706" t="s">
        <v>105</v>
      </c>
      <c r="C49" s="670"/>
      <c r="D49" s="398"/>
      <c r="E49" s="398"/>
      <c r="F49" s="398"/>
      <c r="G49" s="398"/>
      <c r="H49" s="398"/>
      <c r="I49" s="53"/>
      <c r="J49" s="398"/>
      <c r="K49" s="398"/>
      <c r="L49" s="398"/>
      <c r="M49" s="398"/>
      <c r="N49" s="398"/>
      <c r="O49" s="398"/>
      <c r="P49" s="398"/>
      <c r="Q49" s="398"/>
      <c r="R49" s="638"/>
    </row>
    <row r="50" spans="1:18" s="21" customFormat="1" ht="13.5" thickBot="1">
      <c r="A50" s="398"/>
      <c r="B50" s="53"/>
      <c r="C50" s="78" t="s">
        <v>106</v>
      </c>
      <c r="D50" s="821">
        <f>OpProfitDefault</f>
        <v>0.1703028465807406</v>
      </c>
      <c r="E50" s="822"/>
      <c r="F50" s="53"/>
      <c r="G50" s="53"/>
      <c r="H50" s="53"/>
      <c r="I50" s="53"/>
      <c r="J50" s="398"/>
      <c r="K50" s="398"/>
      <c r="L50" s="398"/>
      <c r="M50" s="398"/>
      <c r="N50" s="398"/>
      <c r="O50" s="398"/>
      <c r="P50" s="398"/>
      <c r="Q50" s="398"/>
      <c r="R50" s="638"/>
    </row>
    <row r="51" spans="1:18" s="21" customFormat="1" ht="27.75" customHeight="1" thickBot="1">
      <c r="A51" s="398"/>
      <c r="B51" s="53"/>
      <c r="C51" s="744" t="s">
        <v>107</v>
      </c>
      <c r="D51" s="745"/>
      <c r="E51" s="745"/>
      <c r="F51" s="745"/>
      <c r="G51" s="745"/>
      <c r="H51" s="745"/>
      <c r="I51" s="53"/>
      <c r="J51" s="398"/>
      <c r="K51" s="398"/>
      <c r="L51" s="398"/>
      <c r="M51" s="398"/>
      <c r="N51" s="398"/>
      <c r="O51" s="398"/>
      <c r="P51" s="398"/>
      <c r="Q51" s="398"/>
      <c r="R51" s="638"/>
    </row>
    <row r="52" spans="1:18" ht="13.5" thickBot="1">
      <c r="A52" s="398"/>
      <c r="B52" s="53"/>
      <c r="C52" s="78" t="s">
        <v>108</v>
      </c>
      <c r="D52" s="821">
        <f>WACCDefault</f>
        <v>8.2000000000000003E-2</v>
      </c>
      <c r="E52" s="822"/>
      <c r="F52" s="53"/>
      <c r="G52" s="53"/>
      <c r="H52" s="53"/>
      <c r="I52" s="53"/>
      <c r="J52" s="398"/>
      <c r="K52" s="398"/>
      <c r="L52" s="398"/>
      <c r="M52" s="398"/>
      <c r="N52" s="398"/>
      <c r="O52" s="398"/>
      <c r="P52" s="398"/>
      <c r="Q52" s="398"/>
      <c r="R52" s="638"/>
    </row>
    <row r="53" spans="1:18" s="21" customFormat="1" ht="13.5" thickBot="1">
      <c r="A53" s="398"/>
      <c r="B53" s="53"/>
      <c r="C53" s="744" t="s">
        <v>109</v>
      </c>
      <c r="D53" s="745"/>
      <c r="E53" s="745"/>
      <c r="F53" s="745"/>
      <c r="G53" s="53"/>
      <c r="H53" s="53"/>
      <c r="I53" s="53"/>
      <c r="J53" s="398"/>
      <c r="K53" s="398"/>
      <c r="L53" s="398"/>
      <c r="M53" s="398"/>
      <c r="N53" s="398"/>
      <c r="O53" s="398"/>
      <c r="P53" s="398"/>
      <c r="Q53" s="398"/>
      <c r="R53" s="638"/>
    </row>
    <row r="54" spans="1:18" s="59" customFormat="1" ht="13.5" thickBot="1">
      <c r="A54" s="398"/>
      <c r="B54" s="53"/>
      <c r="C54" s="78" t="s">
        <v>110</v>
      </c>
      <c r="D54" s="821">
        <f>GrowthRateDefault-GrowthRateDefault</f>
        <v>0</v>
      </c>
      <c r="E54" s="822"/>
      <c r="F54" s="53"/>
      <c r="G54" s="53"/>
      <c r="H54" s="53"/>
      <c r="I54" s="53"/>
      <c r="J54" s="398"/>
      <c r="K54" s="398"/>
      <c r="L54" s="398"/>
      <c r="M54" s="398"/>
      <c r="N54" s="398"/>
      <c r="O54" s="398"/>
      <c r="P54" s="398"/>
      <c r="Q54" s="398"/>
      <c r="R54" s="638"/>
    </row>
    <row r="55" spans="1:18" s="59" customFormat="1" ht="24" customHeight="1">
      <c r="A55" s="398"/>
      <c r="B55" s="53"/>
      <c r="C55" s="744" t="s">
        <v>111</v>
      </c>
      <c r="D55" s="745"/>
      <c r="E55" s="745"/>
      <c r="F55" s="745"/>
      <c r="G55" s="745"/>
      <c r="H55" s="745"/>
      <c r="I55" s="53"/>
      <c r="J55" s="398"/>
      <c r="K55" s="398"/>
      <c r="L55" s="398"/>
      <c r="M55" s="398"/>
      <c r="N55" s="398"/>
      <c r="O55" s="398"/>
      <c r="P55" s="398"/>
      <c r="Q55" s="398"/>
      <c r="R55" s="638"/>
    </row>
    <row r="56" spans="1:18" s="75" customFormat="1" ht="21" customHeight="1" thickBot="1">
      <c r="A56" s="398"/>
      <c r="B56" s="706" t="s">
        <v>112</v>
      </c>
      <c r="C56" s="667"/>
      <c r="D56" s="398"/>
      <c r="E56" s="398"/>
      <c r="F56" s="398"/>
      <c r="G56" s="398"/>
      <c r="H56" s="398"/>
      <c r="I56" s="53"/>
      <c r="J56" s="398"/>
      <c r="K56" s="398"/>
      <c r="L56" s="398"/>
      <c r="M56" s="398"/>
      <c r="N56" s="398"/>
      <c r="O56" s="398"/>
      <c r="P56" s="398"/>
      <c r="Q56" s="398"/>
      <c r="R56" s="638"/>
    </row>
    <row r="57" spans="1:18" ht="26.25" thickBot="1">
      <c r="A57" s="398"/>
      <c r="B57" s="53"/>
      <c r="C57" s="78" t="s">
        <v>113</v>
      </c>
      <c r="D57" s="752">
        <v>5</v>
      </c>
      <c r="E57" s="753"/>
      <c r="F57" s="662" t="s">
        <v>114</v>
      </c>
      <c r="G57" s="53"/>
      <c r="H57" s="53"/>
      <c r="I57" s="53"/>
      <c r="J57" s="398"/>
      <c r="K57" s="398"/>
      <c r="L57" s="398"/>
      <c r="M57" s="398"/>
      <c r="N57" s="398"/>
      <c r="O57" s="398"/>
      <c r="P57" s="398"/>
      <c r="Q57" s="398"/>
      <c r="R57" s="638"/>
    </row>
    <row r="58" spans="1:18" s="59" customFormat="1" ht="26.25" customHeight="1">
      <c r="A58" s="398"/>
      <c r="B58" s="53"/>
      <c r="C58" s="744" t="s">
        <v>115</v>
      </c>
      <c r="D58" s="745"/>
      <c r="E58" s="745"/>
      <c r="F58" s="745"/>
      <c r="G58" s="745"/>
      <c r="H58" s="745"/>
      <c r="I58" s="53"/>
      <c r="J58" s="398"/>
      <c r="K58" s="398"/>
      <c r="L58" s="398"/>
      <c r="M58" s="398"/>
      <c r="N58" s="398"/>
      <c r="O58" s="398"/>
      <c r="P58" s="398"/>
      <c r="Q58" s="398"/>
      <c r="R58" s="638"/>
    </row>
    <row r="59" spans="1:18" s="75" customFormat="1" ht="24" customHeight="1" thickBot="1">
      <c r="A59" s="398"/>
      <c r="B59" s="53"/>
      <c r="C59" s="78" t="s">
        <v>116</v>
      </c>
      <c r="D59" s="53"/>
      <c r="E59" s="53"/>
      <c r="F59" s="53"/>
      <c r="G59" s="53"/>
      <c r="H59" s="53"/>
      <c r="I59" s="53"/>
      <c r="J59" s="398"/>
      <c r="K59" s="398"/>
      <c r="L59" s="398"/>
      <c r="M59" s="398"/>
      <c r="N59" s="398"/>
      <c r="O59" s="398"/>
      <c r="P59" s="398"/>
      <c r="Q59" s="398"/>
      <c r="R59" s="638"/>
    </row>
    <row r="60" spans="1:18" s="75" customFormat="1">
      <c r="A60" s="398"/>
      <c r="B60" s="53"/>
      <c r="C60" s="102" t="s">
        <v>117</v>
      </c>
      <c r="D60" s="823">
        <v>9</v>
      </c>
      <c r="E60" s="824"/>
      <c r="F60" s="53"/>
      <c r="G60" s="746">
        <f>DATE(D61,D60,1)</f>
        <v>43709</v>
      </c>
      <c r="H60" s="398"/>
      <c r="I60" s="53"/>
      <c r="J60" s="398"/>
      <c r="K60" s="398"/>
      <c r="L60" s="398"/>
      <c r="M60" s="398"/>
      <c r="N60" s="398"/>
      <c r="O60" s="398"/>
      <c r="P60" s="398"/>
      <c r="Q60" s="398"/>
      <c r="R60" s="638"/>
    </row>
    <row r="61" spans="1:18" s="75" customFormat="1" ht="13.5" thickBot="1">
      <c r="A61" s="398"/>
      <c r="B61" s="53"/>
      <c r="C61" s="102" t="s">
        <v>118</v>
      </c>
      <c r="D61" s="825">
        <v>2019</v>
      </c>
      <c r="E61" s="826"/>
      <c r="F61" s="53"/>
      <c r="G61" s="746"/>
      <c r="H61" s="53"/>
      <c r="I61" s="53"/>
      <c r="J61" s="398"/>
      <c r="K61" s="398"/>
      <c r="L61" s="398"/>
      <c r="M61" s="398"/>
      <c r="N61" s="398"/>
      <c r="O61" s="398"/>
      <c r="P61" s="398"/>
      <c r="Q61" s="398"/>
      <c r="R61" s="638"/>
    </row>
    <row r="62" spans="1:18" s="75" customFormat="1" ht="6" customHeight="1" thickBot="1">
      <c r="A62" s="398"/>
      <c r="B62" s="53"/>
      <c r="C62" s="102"/>
      <c r="D62" s="102"/>
      <c r="E62" s="102"/>
      <c r="F62" s="53"/>
      <c r="G62" s="53"/>
      <c r="H62" s="53"/>
      <c r="I62" s="53"/>
      <c r="J62" s="398"/>
      <c r="K62" s="398"/>
      <c r="L62" s="398"/>
      <c r="M62" s="398"/>
      <c r="N62" s="398"/>
      <c r="O62" s="398"/>
      <c r="P62" s="398"/>
      <c r="Q62" s="398"/>
      <c r="R62" s="638"/>
    </row>
    <row r="63" spans="1:18" s="59" customFormat="1" ht="26.25" thickBot="1">
      <c r="A63" s="398"/>
      <c r="B63" s="53"/>
      <c r="C63" s="78" t="s">
        <v>119</v>
      </c>
      <c r="D63" s="752">
        <v>6</v>
      </c>
      <c r="E63" s="753"/>
      <c r="F63" s="662" t="s">
        <v>120</v>
      </c>
      <c r="G63" s="53"/>
      <c r="H63" s="53"/>
      <c r="I63" s="53"/>
      <c r="J63" s="398"/>
      <c r="K63" s="398"/>
      <c r="L63" s="398"/>
      <c r="M63" s="398"/>
      <c r="N63" s="398"/>
      <c r="O63" s="398"/>
      <c r="P63" s="398"/>
      <c r="Q63" s="398"/>
      <c r="R63" s="638"/>
    </row>
    <row r="64" spans="1:18" s="105" customFormat="1" ht="37.5" customHeight="1">
      <c r="A64" s="398"/>
      <c r="B64" s="53"/>
      <c r="C64" s="744" t="s">
        <v>121</v>
      </c>
      <c r="D64" s="745"/>
      <c r="E64" s="745"/>
      <c r="F64" s="745"/>
      <c r="G64" s="745"/>
      <c r="H64" s="745"/>
      <c r="I64" s="53"/>
      <c r="J64" s="398"/>
      <c r="K64" s="398"/>
      <c r="L64" s="398"/>
      <c r="M64" s="398"/>
      <c r="N64" s="398"/>
      <c r="O64" s="398"/>
      <c r="P64" s="398"/>
      <c r="Q64" s="398"/>
      <c r="R64" s="638"/>
    </row>
    <row r="65" spans="1:18" s="59" customFormat="1" ht="13.5" thickBot="1">
      <c r="A65" s="398"/>
      <c r="B65" s="53"/>
      <c r="C65" s="108" t="s">
        <v>122</v>
      </c>
      <c r="D65" s="53"/>
      <c r="E65" s="53"/>
      <c r="F65" s="53"/>
      <c r="G65" s="53"/>
      <c r="H65" s="53"/>
      <c r="I65" s="53"/>
      <c r="J65" s="398"/>
      <c r="K65" s="398"/>
      <c r="L65" s="398"/>
      <c r="M65" s="398"/>
      <c r="N65" s="398"/>
      <c r="O65" s="398"/>
      <c r="P65" s="398"/>
      <c r="Q65" s="398"/>
      <c r="R65" s="638"/>
    </row>
    <row r="66" spans="1:18" s="59" customFormat="1">
      <c r="A66" s="398"/>
      <c r="B66" s="53"/>
      <c r="C66" s="102" t="s">
        <v>123</v>
      </c>
      <c r="D66" s="827">
        <v>1</v>
      </c>
      <c r="E66" s="828"/>
      <c r="F66" s="53"/>
      <c r="G66" s="53"/>
      <c r="H66" s="53"/>
      <c r="I66" s="53"/>
      <c r="J66" s="398"/>
      <c r="K66" s="398"/>
      <c r="L66" s="398"/>
      <c r="M66" s="398"/>
      <c r="N66" s="398"/>
      <c r="O66" s="398"/>
      <c r="P66" s="398"/>
      <c r="Q66" s="398"/>
      <c r="R66" s="638"/>
    </row>
    <row r="67" spans="1:18" s="59" customFormat="1">
      <c r="A67" s="398"/>
      <c r="B67" s="53"/>
      <c r="C67" s="102" t="s">
        <v>124</v>
      </c>
      <c r="D67" s="829">
        <v>1</v>
      </c>
      <c r="E67" s="830"/>
      <c r="F67" s="53"/>
      <c r="G67" s="53"/>
      <c r="H67" s="53"/>
      <c r="I67" s="53"/>
      <c r="J67" s="398"/>
      <c r="K67" s="398"/>
      <c r="L67" s="398"/>
      <c r="M67" s="398"/>
      <c r="N67" s="398"/>
      <c r="O67" s="398"/>
      <c r="P67" s="398"/>
      <c r="Q67" s="398"/>
      <c r="R67" s="638"/>
    </row>
    <row r="68" spans="1:18" s="59" customFormat="1" ht="13.5" thickBot="1">
      <c r="A68" s="398"/>
      <c r="B68" s="53"/>
      <c r="C68" s="102" t="s">
        <v>125</v>
      </c>
      <c r="D68" s="831">
        <v>1</v>
      </c>
      <c r="E68" s="832"/>
      <c r="F68" s="53"/>
      <c r="G68" s="53"/>
      <c r="H68" s="53"/>
      <c r="I68" s="53"/>
      <c r="J68" s="398"/>
      <c r="K68" s="398"/>
      <c r="L68" s="398"/>
      <c r="M68" s="398"/>
      <c r="N68" s="398"/>
      <c r="O68" s="398"/>
      <c r="P68" s="398"/>
      <c r="Q68" s="398"/>
      <c r="R68" s="638"/>
    </row>
    <row r="69" spans="1:18" s="105" customFormat="1" ht="26.25" customHeight="1">
      <c r="A69" s="398"/>
      <c r="B69" s="53"/>
      <c r="C69" s="744" t="s">
        <v>126</v>
      </c>
      <c r="D69" s="745"/>
      <c r="E69" s="745"/>
      <c r="F69" s="745"/>
      <c r="G69" s="745"/>
      <c r="H69" s="745"/>
      <c r="I69" s="53"/>
      <c r="J69" s="398"/>
      <c r="K69" s="398"/>
      <c r="L69" s="398"/>
      <c r="M69" s="398"/>
      <c r="N69" s="398"/>
      <c r="O69" s="398"/>
      <c r="P69" s="398"/>
      <c r="Q69" s="398"/>
      <c r="R69" s="638"/>
    </row>
    <row r="70" spans="1:18">
      <c r="A70" s="398"/>
      <c r="B70" s="398"/>
      <c r="C70" s="398"/>
      <c r="D70" s="398"/>
      <c r="E70" s="398"/>
      <c r="F70" s="398"/>
      <c r="G70" s="398"/>
      <c r="H70" s="398"/>
      <c r="I70" s="398"/>
      <c r="J70" s="398"/>
      <c r="K70" s="398"/>
      <c r="L70" s="398"/>
      <c r="M70" s="398"/>
      <c r="N70" s="398"/>
      <c r="O70" s="398"/>
      <c r="P70" s="398"/>
      <c r="Q70" s="398"/>
      <c r="R70" s="638"/>
    </row>
    <row r="71" spans="1:18" ht="22.5">
      <c r="A71" s="7" t="s">
        <v>127</v>
      </c>
      <c r="B71" s="398"/>
      <c r="C71" s="398"/>
      <c r="D71" s="398"/>
      <c r="E71" s="398"/>
      <c r="F71" s="398"/>
      <c r="G71" s="398"/>
      <c r="H71" s="398"/>
      <c r="I71" s="398"/>
      <c r="J71" s="398"/>
      <c r="K71" s="398"/>
      <c r="L71" s="398"/>
      <c r="M71" s="398"/>
      <c r="N71" s="398"/>
      <c r="O71" s="398"/>
      <c r="P71" s="398"/>
      <c r="Q71" s="398"/>
      <c r="R71" s="638"/>
    </row>
    <row r="72" spans="1:18" s="59" customFormat="1" ht="27" customHeight="1">
      <c r="A72" s="398"/>
      <c r="B72" s="53"/>
      <c r="C72" s="741" t="s">
        <v>128</v>
      </c>
      <c r="D72" s="742"/>
      <c r="E72" s="742"/>
      <c r="F72" s="742"/>
      <c r="G72" s="742"/>
      <c r="H72" s="742"/>
      <c r="I72" s="53"/>
      <c r="J72" s="398"/>
      <c r="K72" s="398"/>
      <c r="L72" s="398"/>
      <c r="M72" s="398"/>
      <c r="N72" s="398"/>
      <c r="O72" s="398"/>
      <c r="P72" s="398"/>
      <c r="Q72" s="398"/>
      <c r="R72" s="638"/>
    </row>
    <row r="73" spans="1:18" s="122" customFormat="1" ht="15">
      <c r="A73" s="398"/>
      <c r="B73" s="833" t="s">
        <v>129</v>
      </c>
      <c r="C73" s="833"/>
      <c r="D73" s="833"/>
      <c r="E73" s="833"/>
      <c r="F73" s="833"/>
      <c r="G73" s="833"/>
      <c r="H73" s="833"/>
      <c r="I73" s="53"/>
      <c r="J73" s="398"/>
      <c r="K73" s="398"/>
      <c r="L73" s="398"/>
      <c r="M73" s="398"/>
      <c r="N73" s="398"/>
      <c r="O73" s="398"/>
      <c r="P73" s="398"/>
      <c r="Q73" s="398"/>
      <c r="R73" s="638"/>
    </row>
    <row r="74" spans="1:18" s="21" customFormat="1" ht="26.25" thickBot="1">
      <c r="A74" s="398"/>
      <c r="B74" s="53"/>
      <c r="C74" s="49"/>
      <c r="D74" s="132" t="s">
        <v>130</v>
      </c>
      <c r="E74" s="279" t="s">
        <v>131</v>
      </c>
      <c r="F74" s="77"/>
      <c r="G74" s="77"/>
      <c r="H74" s="77"/>
      <c r="I74" s="53"/>
      <c r="J74" s="398"/>
      <c r="K74" s="398"/>
      <c r="L74" s="398"/>
      <c r="M74" s="398"/>
      <c r="N74" s="398"/>
      <c r="O74" s="398"/>
      <c r="P74" s="398"/>
      <c r="Q74" s="398"/>
      <c r="R74" s="638"/>
    </row>
    <row r="75" spans="1:18" s="21" customFormat="1" ht="26.25" thickBot="1">
      <c r="A75" s="398"/>
      <c r="B75" s="53"/>
      <c r="C75" s="130" t="s">
        <v>132</v>
      </c>
      <c r="D75" s="443">
        <f>IWMixDefault</f>
        <v>0.44457797804153876</v>
      </c>
      <c r="E75" s="131">
        <f>D75*PCUsers</f>
        <v>1223.5643554057381</v>
      </c>
      <c r="F75" s="77"/>
      <c r="G75" s="77"/>
      <c r="H75" s="77"/>
      <c r="I75" s="53"/>
      <c r="J75" s="398"/>
      <c r="K75" s="398"/>
      <c r="L75" s="398"/>
      <c r="M75" s="398"/>
      <c r="N75" s="398"/>
      <c r="O75" s="398"/>
      <c r="P75" s="398"/>
      <c r="Q75" s="398"/>
      <c r="R75" s="638"/>
    </row>
    <row r="76" spans="1:18" s="21" customFormat="1" ht="27" customHeight="1" thickBot="1">
      <c r="A76" s="398"/>
      <c r="B76" s="53"/>
      <c r="C76" s="36" t="s">
        <v>133</v>
      </c>
      <c r="D76" s="133">
        <f>1-D75</f>
        <v>0.55542202195846124</v>
      </c>
      <c r="E76" s="280">
        <f>D76*PCUsers</f>
        <v>1528.6285462665426</v>
      </c>
      <c r="F76" s="77"/>
      <c r="G76" s="77"/>
      <c r="H76" s="77"/>
      <c r="I76" s="53"/>
      <c r="J76" s="398"/>
      <c r="K76" s="398"/>
      <c r="L76" s="398"/>
      <c r="M76" s="398"/>
      <c r="N76" s="398"/>
      <c r="O76" s="398"/>
      <c r="P76" s="398"/>
      <c r="Q76" s="398"/>
      <c r="R76" s="638"/>
    </row>
    <row r="77" spans="1:18" s="21" customFormat="1" ht="26.25" thickTop="1">
      <c r="A77" s="398"/>
      <c r="B77" s="53"/>
      <c r="C77" s="36" t="s">
        <v>134</v>
      </c>
      <c r="D77" s="179">
        <f>D76+D75</f>
        <v>1</v>
      </c>
      <c r="E77" s="281">
        <f>E76+E75</f>
        <v>2752.1929016722806</v>
      </c>
      <c r="F77" s="77"/>
      <c r="G77" s="77"/>
      <c r="H77" s="77"/>
      <c r="I77" s="53"/>
      <c r="J77" s="398"/>
      <c r="K77" s="398"/>
      <c r="L77" s="398"/>
      <c r="M77" s="398"/>
      <c r="N77" s="398"/>
      <c r="O77" s="398"/>
      <c r="P77" s="398"/>
      <c r="Q77" s="398"/>
      <c r="R77" s="638"/>
    </row>
    <row r="78" spans="1:18" s="21" customFormat="1" ht="60" customHeight="1">
      <c r="A78" s="398"/>
      <c r="B78" s="53"/>
      <c r="C78" s="748" t="s">
        <v>135</v>
      </c>
      <c r="D78" s="749"/>
      <c r="E78" s="749"/>
      <c r="F78" s="749"/>
      <c r="G78" s="749"/>
      <c r="H78" s="749"/>
      <c r="I78" s="53"/>
      <c r="J78" s="398"/>
      <c r="K78" s="398"/>
      <c r="L78" s="398"/>
      <c r="M78" s="398"/>
      <c r="N78" s="398"/>
      <c r="O78" s="398"/>
      <c r="P78" s="398"/>
      <c r="Q78" s="398"/>
      <c r="R78" s="638"/>
    </row>
    <row r="79" spans="1:18" s="59" customFormat="1" ht="15">
      <c r="A79" s="398"/>
      <c r="B79" s="833" t="s">
        <v>136</v>
      </c>
      <c r="C79" s="833"/>
      <c r="D79" s="833"/>
      <c r="E79" s="833"/>
      <c r="F79" s="833"/>
      <c r="G79" s="833"/>
      <c r="H79" s="833"/>
      <c r="I79" s="53"/>
      <c r="J79" s="398"/>
      <c r="K79" s="398"/>
      <c r="L79" s="282"/>
      <c r="M79" s="398"/>
      <c r="N79" s="398"/>
      <c r="O79" s="398"/>
      <c r="P79" s="398"/>
      <c r="Q79" s="398"/>
      <c r="R79" s="638"/>
    </row>
    <row r="80" spans="1:18" s="59" customFormat="1" ht="27" customHeight="1" thickBot="1">
      <c r="A80" s="398"/>
      <c r="B80" s="53"/>
      <c r="C80" s="741" t="s">
        <v>128</v>
      </c>
      <c r="D80" s="742"/>
      <c r="E80" s="742"/>
      <c r="F80" s="742"/>
      <c r="G80" s="742"/>
      <c r="H80" s="742"/>
      <c r="I80" s="53"/>
      <c r="J80" s="398"/>
      <c r="K80" s="398"/>
      <c r="L80" s="398"/>
      <c r="M80" s="398"/>
      <c r="N80" s="398"/>
      <c r="O80" s="398"/>
      <c r="P80" s="398"/>
      <c r="Q80" s="398"/>
      <c r="R80" s="638"/>
    </row>
    <row r="81" spans="1:18" ht="25.5">
      <c r="A81" s="398"/>
      <c r="B81" s="402"/>
      <c r="C81" s="130" t="s">
        <v>137</v>
      </c>
      <c r="D81" s="444">
        <f>BurdenRateDefault</f>
        <v>0.32</v>
      </c>
      <c r="E81" s="53"/>
      <c r="F81" s="53"/>
      <c r="G81" s="53"/>
      <c r="H81" s="53"/>
      <c r="I81" s="53"/>
      <c r="J81" s="398"/>
      <c r="K81" s="398"/>
      <c r="L81" s="398"/>
      <c r="M81" s="398"/>
      <c r="N81" s="398"/>
      <c r="O81" s="398"/>
      <c r="P81" s="398"/>
      <c r="Q81" s="398"/>
      <c r="R81" s="638"/>
    </row>
    <row r="82" spans="1:18" ht="16.5" thickBot="1">
      <c r="A82" s="398"/>
      <c r="B82" s="402"/>
      <c r="C82" s="130" t="s">
        <v>138</v>
      </c>
      <c r="D82" s="445">
        <f>WorkHrsDefault</f>
        <v>1824</v>
      </c>
      <c r="E82" s="43"/>
      <c r="F82" s="43"/>
      <c r="G82" s="43"/>
      <c r="H82" s="43"/>
      <c r="I82" s="53"/>
      <c r="J82" s="398"/>
      <c r="K82" s="398"/>
      <c r="L82" s="398"/>
      <c r="M82" s="398"/>
      <c r="N82" s="398"/>
      <c r="O82" s="398"/>
      <c r="P82" s="398"/>
      <c r="Q82" s="398"/>
      <c r="R82" s="638"/>
    </row>
    <row r="83" spans="1:18" ht="16.5" customHeight="1" thickBot="1">
      <c r="A83" s="398"/>
      <c r="B83" s="402"/>
      <c r="C83" s="748" t="s">
        <v>139</v>
      </c>
      <c r="D83" s="749"/>
      <c r="E83" s="749"/>
      <c r="F83" s="749"/>
      <c r="G83" s="749"/>
      <c r="H83" s="749"/>
      <c r="I83" s="53"/>
      <c r="J83" s="398"/>
      <c r="K83" s="398"/>
      <c r="L83" s="398"/>
      <c r="M83" s="398"/>
      <c r="N83" s="398"/>
      <c r="O83" s="398"/>
      <c r="P83" s="398"/>
      <c r="Q83" s="398"/>
      <c r="R83" s="638"/>
    </row>
    <row r="84" spans="1:18" s="21" customFormat="1" ht="26.25" thickBot="1">
      <c r="A84" s="398"/>
      <c r="B84" s="53"/>
      <c r="C84" s="130" t="s">
        <v>140</v>
      </c>
      <c r="D84" s="752" t="s">
        <v>141</v>
      </c>
      <c r="E84" s="834"/>
      <c r="F84" s="753"/>
      <c r="G84" s="77"/>
      <c r="H84" s="77"/>
      <c r="I84" s="53"/>
      <c r="J84" s="398"/>
      <c r="K84" s="398"/>
      <c r="L84" s="398"/>
      <c r="M84" s="398"/>
      <c r="N84" s="398"/>
      <c r="O84" s="398"/>
      <c r="P84" s="398"/>
      <c r="Q84" s="398"/>
      <c r="R84" s="638"/>
    </row>
    <row r="85" spans="1:18" s="21" customFormat="1" ht="24" customHeight="1">
      <c r="A85" s="398"/>
      <c r="B85" s="53"/>
      <c r="C85" s="744" t="s">
        <v>142</v>
      </c>
      <c r="D85" s="745"/>
      <c r="E85" s="745"/>
      <c r="F85" s="745"/>
      <c r="G85" s="745"/>
      <c r="H85" s="745"/>
      <c r="I85" s="53"/>
      <c r="J85" s="398"/>
      <c r="K85" s="398"/>
      <c r="L85" s="398"/>
      <c r="M85" s="398"/>
      <c r="N85" s="398"/>
      <c r="O85" s="398"/>
      <c r="P85" s="398"/>
      <c r="Q85" s="398"/>
      <c r="R85" s="638"/>
    </row>
    <row r="86" spans="1:18" s="32" customFormat="1" ht="27" customHeight="1">
      <c r="A86" s="398"/>
      <c r="B86" s="402"/>
      <c r="C86" s="47"/>
      <c r="D86" s="835" t="s">
        <v>143</v>
      </c>
      <c r="E86" s="835" t="s">
        <v>144</v>
      </c>
      <c r="F86" s="835" t="s">
        <v>145</v>
      </c>
      <c r="G86" s="835" t="s">
        <v>146</v>
      </c>
      <c r="H86" s="835" t="s">
        <v>147</v>
      </c>
      <c r="I86" s="53"/>
      <c r="J86" s="398"/>
      <c r="K86" s="398"/>
      <c r="L86" s="398"/>
      <c r="M86" s="398"/>
      <c r="N86" s="398"/>
      <c r="O86" s="398"/>
      <c r="P86" s="398"/>
      <c r="Q86" s="398"/>
      <c r="R86" s="638"/>
    </row>
    <row r="87" spans="1:18" ht="26.25" customHeight="1">
      <c r="A87" s="398"/>
      <c r="B87" s="53"/>
      <c r="C87" s="53"/>
      <c r="D87" s="835"/>
      <c r="E87" s="835"/>
      <c r="F87" s="835"/>
      <c r="G87" s="835"/>
      <c r="H87" s="835"/>
      <c r="I87" s="53"/>
      <c r="J87" s="398"/>
      <c r="K87" s="398"/>
      <c r="L87" s="398"/>
      <c r="M87" s="398"/>
      <c r="N87" s="398"/>
      <c r="O87" s="398"/>
      <c r="P87" s="398"/>
      <c r="Q87" s="398"/>
      <c r="R87" s="638"/>
    </row>
    <row r="88" spans="1:18" ht="15.75" customHeight="1" thickBot="1">
      <c r="A88" s="398"/>
      <c r="B88" s="833" t="s">
        <v>148</v>
      </c>
      <c r="C88" s="833"/>
      <c r="D88" s="833"/>
      <c r="E88" s="833"/>
      <c r="F88" s="833"/>
      <c r="G88" s="833"/>
      <c r="H88" s="833"/>
      <c r="I88" s="53"/>
      <c r="J88" s="398"/>
      <c r="K88" s="398"/>
      <c r="L88" s="398"/>
      <c r="M88" s="398"/>
      <c r="N88" s="398"/>
      <c r="O88" s="398"/>
      <c r="P88" s="398"/>
      <c r="Q88" s="398"/>
      <c r="R88" s="638"/>
    </row>
    <row r="89" spans="1:18" ht="13.5" customHeight="1">
      <c r="A89" s="398"/>
      <c r="B89" s="53"/>
      <c r="C89" s="130" t="s">
        <v>149</v>
      </c>
      <c r="D89" s="533">
        <f>Refrc!H205</f>
        <v>93535.140722851458</v>
      </c>
      <c r="E89" s="134">
        <f t="shared" ref="E89:E96" si="0">BurdenRate</f>
        <v>0.32</v>
      </c>
      <c r="F89" s="697">
        <f t="shared" ref="F89:F96" si="1">D89*(1+BurdenRate)</f>
        <v>123466.38575416393</v>
      </c>
      <c r="G89" s="697">
        <f>F89/52</f>
        <v>2374.3535721954604</v>
      </c>
      <c r="H89" s="534">
        <f t="shared" ref="H89:H96" si="2">F89/WorkHrs</f>
        <v>67.689904470484606</v>
      </c>
      <c r="I89" s="77"/>
      <c r="J89" s="398"/>
      <c r="K89" s="398"/>
      <c r="L89" s="270"/>
      <c r="M89" s="398"/>
      <c r="N89" s="398"/>
      <c r="O89" s="398"/>
      <c r="P89" s="398"/>
      <c r="Q89" s="398"/>
      <c r="R89" s="638"/>
    </row>
    <row r="90" spans="1:18" s="75" customFormat="1">
      <c r="A90" s="398"/>
      <c r="B90" s="53"/>
      <c r="C90" s="130" t="s">
        <v>150</v>
      </c>
      <c r="D90" s="535">
        <f>Refrc!H206</f>
        <v>86714.870045143543</v>
      </c>
      <c r="E90" s="134">
        <f t="shared" si="0"/>
        <v>0.32</v>
      </c>
      <c r="F90" s="697">
        <f t="shared" si="1"/>
        <v>114463.62845958948</v>
      </c>
      <c r="G90" s="697">
        <f t="shared" ref="G90:G96" si="3">F90/52</f>
        <v>2201.2236242228746</v>
      </c>
      <c r="H90" s="534">
        <f t="shared" si="2"/>
        <v>62.75418226951178</v>
      </c>
      <c r="I90" s="77"/>
      <c r="J90" s="398"/>
      <c r="K90" s="398"/>
      <c r="L90" s="398"/>
      <c r="M90" s="398"/>
      <c r="N90" s="398"/>
      <c r="O90" s="398"/>
      <c r="P90" s="398"/>
      <c r="Q90" s="398"/>
      <c r="R90" s="638"/>
    </row>
    <row r="91" spans="1:18" s="75" customFormat="1">
      <c r="A91" s="398"/>
      <c r="B91" s="53"/>
      <c r="C91" s="130" t="s">
        <v>151</v>
      </c>
      <c r="D91" s="535">
        <f>Refrc!H207</f>
        <v>90612.167575262341</v>
      </c>
      <c r="E91" s="134">
        <f t="shared" si="0"/>
        <v>0.32</v>
      </c>
      <c r="F91" s="697">
        <f t="shared" si="1"/>
        <v>119608.0611993463</v>
      </c>
      <c r="G91" s="697">
        <f t="shared" si="3"/>
        <v>2300.155023064352</v>
      </c>
      <c r="H91" s="534">
        <f t="shared" si="2"/>
        <v>65.574594955781961</v>
      </c>
      <c r="I91" s="77"/>
      <c r="J91" s="398"/>
      <c r="K91" s="398"/>
      <c r="L91" s="398"/>
      <c r="M91" s="398"/>
      <c r="N91" s="398"/>
      <c r="O91" s="398"/>
      <c r="P91" s="398"/>
      <c r="Q91" s="398"/>
      <c r="R91" s="638"/>
    </row>
    <row r="92" spans="1:18" s="75" customFormat="1">
      <c r="A92" s="398"/>
      <c r="B92" s="53"/>
      <c r="C92" s="130" t="s">
        <v>152</v>
      </c>
      <c r="D92" s="535">
        <f>Refrc!H208</f>
        <v>80381.761558700469</v>
      </c>
      <c r="E92" s="134">
        <f t="shared" si="0"/>
        <v>0.32</v>
      </c>
      <c r="F92" s="697">
        <f t="shared" si="1"/>
        <v>106103.92525748462</v>
      </c>
      <c r="G92" s="697">
        <f t="shared" si="3"/>
        <v>2040.4601011054733</v>
      </c>
      <c r="H92" s="534">
        <f t="shared" si="2"/>
        <v>58.171011654322704</v>
      </c>
      <c r="I92" s="77"/>
      <c r="J92" s="398"/>
      <c r="K92" s="398"/>
      <c r="L92" s="398"/>
      <c r="M92" s="398"/>
      <c r="N92" s="398"/>
      <c r="O92" s="398"/>
      <c r="P92" s="398"/>
      <c r="Q92" s="398"/>
      <c r="R92" s="638"/>
    </row>
    <row r="93" spans="1:18" s="75" customFormat="1">
      <c r="A93" s="398"/>
      <c r="B93" s="53"/>
      <c r="C93" s="130" t="s">
        <v>153</v>
      </c>
      <c r="D93" s="535">
        <f>Refrc!H209</f>
        <v>53587.841039133651</v>
      </c>
      <c r="E93" s="134">
        <f t="shared" si="0"/>
        <v>0.32</v>
      </c>
      <c r="F93" s="697">
        <f t="shared" si="1"/>
        <v>70735.950171656426</v>
      </c>
      <c r="G93" s="697">
        <f t="shared" si="3"/>
        <v>1360.306734070316</v>
      </c>
      <c r="H93" s="534">
        <f t="shared" si="2"/>
        <v>38.780674436215143</v>
      </c>
      <c r="I93" s="77"/>
      <c r="J93" s="398"/>
      <c r="K93" s="398"/>
      <c r="L93" s="398"/>
      <c r="M93" s="398"/>
      <c r="N93" s="398"/>
      <c r="O93" s="398"/>
      <c r="P93" s="398"/>
      <c r="Q93" s="398"/>
      <c r="R93" s="638"/>
    </row>
    <row r="94" spans="1:18" s="75" customFormat="1">
      <c r="A94" s="398"/>
      <c r="B94" s="53"/>
      <c r="C94" s="130" t="s">
        <v>154</v>
      </c>
      <c r="D94" s="535">
        <f>Refrc!H210</f>
        <v>77945.950602376208</v>
      </c>
      <c r="E94" s="134">
        <f t="shared" si="0"/>
        <v>0.32</v>
      </c>
      <c r="F94" s="697">
        <f t="shared" si="1"/>
        <v>102888.65479513659</v>
      </c>
      <c r="G94" s="697">
        <f t="shared" si="3"/>
        <v>1978.6279768295499</v>
      </c>
      <c r="H94" s="534">
        <f t="shared" si="2"/>
        <v>56.408253725403831</v>
      </c>
      <c r="I94" s="77"/>
      <c r="J94" s="398"/>
      <c r="K94" s="398"/>
      <c r="L94" s="398"/>
      <c r="M94" s="398"/>
      <c r="N94" s="398"/>
      <c r="O94" s="398"/>
      <c r="P94" s="398"/>
      <c r="Q94" s="398"/>
      <c r="R94" s="638"/>
    </row>
    <row r="95" spans="1:18" s="75" customFormat="1">
      <c r="A95" s="398"/>
      <c r="B95" s="53"/>
      <c r="C95" s="130" t="s">
        <v>155</v>
      </c>
      <c r="D95" s="535">
        <f>Refrc!H211</f>
        <v>81356.085941230165</v>
      </c>
      <c r="E95" s="134">
        <f t="shared" si="0"/>
        <v>0.32</v>
      </c>
      <c r="F95" s="697">
        <f t="shared" si="1"/>
        <v>107390.03344242382</v>
      </c>
      <c r="G95" s="697">
        <f t="shared" si="3"/>
        <v>2065.1929508158428</v>
      </c>
      <c r="H95" s="534">
        <f t="shared" si="2"/>
        <v>58.876114825890255</v>
      </c>
      <c r="I95" s="77"/>
      <c r="J95" s="398"/>
      <c r="K95" s="398"/>
      <c r="L95" s="270"/>
      <c r="M95" s="398"/>
      <c r="N95" s="398"/>
      <c r="O95" s="398"/>
      <c r="P95" s="398"/>
      <c r="Q95" s="398"/>
      <c r="R95" s="638"/>
    </row>
    <row r="96" spans="1:18" s="75" customFormat="1" ht="13.5" thickBot="1">
      <c r="A96" s="398"/>
      <c r="B96" s="53"/>
      <c r="C96" s="130" t="s">
        <v>156</v>
      </c>
      <c r="D96" s="536">
        <f>Refrc!H212</f>
        <v>111413.9931422715</v>
      </c>
      <c r="E96" s="134">
        <f t="shared" si="0"/>
        <v>0.32</v>
      </c>
      <c r="F96" s="697">
        <f t="shared" si="1"/>
        <v>147066.4709477984</v>
      </c>
      <c r="G96" s="697">
        <f t="shared" si="3"/>
        <v>2828.2013643807386</v>
      </c>
      <c r="H96" s="534">
        <f t="shared" si="2"/>
        <v>80.628547668749121</v>
      </c>
      <c r="I96" s="77"/>
      <c r="J96" s="398"/>
      <c r="K96" s="398"/>
      <c r="L96" s="728"/>
      <c r="M96" s="728"/>
      <c r="N96" s="728"/>
      <c r="O96" s="728"/>
      <c r="P96" s="728"/>
      <c r="Q96" s="398"/>
      <c r="R96" s="638"/>
    </row>
    <row r="97" spans="1:18" s="75" customFormat="1" ht="13.5" thickTop="1">
      <c r="A97" s="398"/>
      <c r="B97" s="53"/>
      <c r="C97" s="283" t="s">
        <v>157</v>
      </c>
      <c r="D97" s="537">
        <f>SUMPRODUCT(D89:D96,TCO!$E$83:$E$90)</f>
        <v>86809.379510248924</v>
      </c>
      <c r="E97" s="179">
        <f>SUMPRODUCT(E89:E96,TCO!$E$83:$E$90)</f>
        <v>0.32</v>
      </c>
      <c r="F97" s="698">
        <f>SUMPRODUCT(F89:F96,TCO!$E$83:$E$90)</f>
        <v>114588.38095352858</v>
      </c>
      <c r="G97" s="698">
        <f>SUMPRODUCT(G89:G96,TCO!$E$83:$E$90)</f>
        <v>2203.6227106447805</v>
      </c>
      <c r="H97" s="538">
        <f>SUMPRODUCT(H89:H96,TCO!$E$83:$E$90)</f>
        <v>62.822577277153826</v>
      </c>
      <c r="I97" s="77"/>
      <c r="J97" s="398"/>
      <c r="K97" s="398"/>
      <c r="L97" s="728"/>
      <c r="M97" s="728"/>
      <c r="N97" s="728"/>
      <c r="O97" s="728"/>
      <c r="P97" s="728"/>
      <c r="Q97" s="398"/>
      <c r="R97" s="638"/>
    </row>
    <row r="98" spans="1:18" ht="14.25" customHeight="1">
      <c r="A98" s="398"/>
      <c r="B98" s="53"/>
      <c r="C98" s="748" t="s">
        <v>158</v>
      </c>
      <c r="D98" s="749"/>
      <c r="E98" s="749"/>
      <c r="F98" s="749"/>
      <c r="G98" s="749"/>
      <c r="H98" s="749"/>
      <c r="I98" s="53"/>
      <c r="J98" s="398"/>
      <c r="K98" s="398"/>
      <c r="L98" s="728"/>
      <c r="M98" s="728"/>
      <c r="N98" s="728"/>
      <c r="O98" s="728"/>
      <c r="P98" s="728"/>
      <c r="Q98" s="398"/>
      <c r="R98" s="638"/>
    </row>
    <row r="99" spans="1:18" s="32" customFormat="1">
      <c r="A99" s="398"/>
      <c r="B99" s="53"/>
      <c r="C99" s="749"/>
      <c r="D99" s="749"/>
      <c r="E99" s="749"/>
      <c r="F99" s="749"/>
      <c r="G99" s="749"/>
      <c r="H99" s="749"/>
      <c r="I99" s="53"/>
      <c r="J99" s="398"/>
      <c r="K99" s="398"/>
      <c r="L99" s="728"/>
      <c r="M99" s="728"/>
      <c r="N99" s="728"/>
      <c r="O99" s="728"/>
      <c r="P99" s="728"/>
      <c r="Q99" s="398"/>
      <c r="R99" s="638"/>
    </row>
    <row r="100" spans="1:18" ht="15.75" thickBot="1">
      <c r="A100" s="398"/>
      <c r="B100" s="833" t="s">
        <v>159</v>
      </c>
      <c r="C100" s="833"/>
      <c r="D100" s="833"/>
      <c r="E100" s="833"/>
      <c r="F100" s="833"/>
      <c r="G100" s="833"/>
      <c r="H100" s="833"/>
      <c r="I100" s="53"/>
      <c r="J100" s="398"/>
      <c r="K100" s="398"/>
      <c r="L100" s="728"/>
      <c r="M100" s="728"/>
      <c r="N100" s="728"/>
      <c r="O100" s="728"/>
      <c r="P100" s="728"/>
      <c r="Q100" s="398"/>
      <c r="R100" s="638"/>
    </row>
    <row r="101" spans="1:18">
      <c r="A101" s="398"/>
      <c r="B101" s="53"/>
      <c r="C101" s="130" t="s">
        <v>160</v>
      </c>
      <c r="D101" s="533">
        <f>IWCompDefault</f>
        <v>72118.136756826978</v>
      </c>
      <c r="E101" s="134">
        <f>BurdenRate</f>
        <v>0.32</v>
      </c>
      <c r="F101" s="697">
        <f>D101*(1+BurdenRate)</f>
        <v>95195.940519011609</v>
      </c>
      <c r="G101" s="697">
        <f>F101/52</f>
        <v>1830.6911638271463</v>
      </c>
      <c r="H101" s="534">
        <f>F101/WorkHrs</f>
        <v>52.190756863493206</v>
      </c>
      <c r="I101" s="53"/>
      <c r="J101" s="398"/>
      <c r="K101" s="398"/>
      <c r="L101" s="728"/>
      <c r="M101" s="728"/>
      <c r="N101" s="728"/>
      <c r="O101" s="728"/>
      <c r="P101" s="728"/>
      <c r="Q101" s="398"/>
      <c r="R101" s="638"/>
    </row>
    <row r="102" spans="1:18" ht="13.5" thickBot="1">
      <c r="A102" s="398"/>
      <c r="B102" s="53"/>
      <c r="C102" s="130" t="s">
        <v>161</v>
      </c>
      <c r="D102" s="536">
        <f>TWCompDefault</f>
        <v>56720.039050376748</v>
      </c>
      <c r="E102" s="134">
        <f>BurdenRate</f>
        <v>0.32</v>
      </c>
      <c r="F102" s="697">
        <f>D102*(1+BurdenRate)</f>
        <v>74870.451546497308</v>
      </c>
      <c r="G102" s="697">
        <f>F102/52</f>
        <v>1439.8163758941789</v>
      </c>
      <c r="H102" s="534">
        <f>F102/WorkHrs</f>
        <v>41.047396681193703</v>
      </c>
      <c r="I102" s="53"/>
      <c r="J102" s="398"/>
      <c r="K102" s="398"/>
      <c r="L102" s="398"/>
      <c r="M102" s="398"/>
      <c r="N102" s="398"/>
      <c r="O102" s="398"/>
      <c r="P102" s="398"/>
      <c r="Q102" s="398"/>
      <c r="R102" s="638"/>
    </row>
    <row r="103" spans="1:18" ht="13.5" thickTop="1">
      <c r="A103" s="398"/>
      <c r="B103" s="53"/>
      <c r="C103" s="36" t="s">
        <v>157</v>
      </c>
      <c r="D103" s="537">
        <f>D101*$D$75+D102*$D$76</f>
        <v>63565.694194396448</v>
      </c>
      <c r="E103" s="77"/>
      <c r="F103" s="698">
        <f>F101*$D$75+F102*$D$76</f>
        <v>83906.716336603306</v>
      </c>
      <c r="G103" s="698">
        <f>H103*40</f>
        <v>1840.0595687851603</v>
      </c>
      <c r="H103" s="538">
        <f>F103/WorkHrs</f>
        <v>46.001489219629008</v>
      </c>
      <c r="I103" s="53"/>
      <c r="J103" s="398"/>
      <c r="K103" s="398"/>
      <c r="L103" s="398"/>
      <c r="M103" s="398"/>
      <c r="N103" s="398"/>
      <c r="O103" s="398"/>
      <c r="P103" s="398"/>
      <c r="Q103" s="398"/>
      <c r="R103" s="638"/>
    </row>
    <row r="104" spans="1:18" s="21" customFormat="1">
      <c r="A104" s="398"/>
      <c r="B104" s="53"/>
      <c r="C104" s="748" t="s">
        <v>162</v>
      </c>
      <c r="D104" s="749"/>
      <c r="E104" s="749"/>
      <c r="F104" s="749"/>
      <c r="G104" s="749"/>
      <c r="H104" s="749"/>
      <c r="I104" s="53"/>
      <c r="J104" s="398"/>
      <c r="K104" s="398"/>
      <c r="L104" s="398"/>
      <c r="M104" s="398"/>
      <c r="N104" s="398"/>
      <c r="O104" s="398"/>
      <c r="P104" s="398"/>
      <c r="Q104" s="398"/>
      <c r="R104" s="638"/>
    </row>
    <row r="105" spans="1:18" s="32" customFormat="1" ht="13.5" customHeight="1">
      <c r="A105" s="398"/>
      <c r="B105" s="53"/>
      <c r="C105" s="748" t="s">
        <v>163</v>
      </c>
      <c r="D105" s="749"/>
      <c r="E105" s="749"/>
      <c r="F105" s="749"/>
      <c r="G105" s="749"/>
      <c r="H105" s="749"/>
      <c r="I105" s="53"/>
      <c r="J105" s="398"/>
      <c r="K105" s="398"/>
      <c r="L105" s="398"/>
      <c r="M105" s="398"/>
      <c r="N105" s="398"/>
      <c r="O105" s="398"/>
      <c r="P105" s="398"/>
      <c r="Q105" s="398"/>
      <c r="R105" s="638"/>
    </row>
    <row r="106" spans="1:18" s="32" customFormat="1" ht="21.75" customHeight="1">
      <c r="A106" s="398"/>
      <c r="B106" s="53"/>
      <c r="C106" s="749"/>
      <c r="D106" s="749"/>
      <c r="E106" s="749"/>
      <c r="F106" s="749"/>
      <c r="G106" s="749"/>
      <c r="H106" s="749"/>
      <c r="I106" s="53"/>
      <c r="J106" s="398"/>
      <c r="K106" s="398"/>
      <c r="L106" s="398"/>
      <c r="M106" s="398"/>
      <c r="N106" s="398"/>
      <c r="O106" s="398"/>
      <c r="P106" s="398"/>
      <c r="Q106" s="398"/>
      <c r="R106" s="638"/>
    </row>
    <row r="107" spans="1:18" s="21" customFormat="1">
      <c r="A107" s="398"/>
      <c r="B107" s="53"/>
      <c r="C107" s="53"/>
      <c r="D107" s="53"/>
      <c r="E107" s="53"/>
      <c r="F107" s="53"/>
      <c r="G107" s="53"/>
      <c r="H107" s="53"/>
      <c r="I107" s="53"/>
      <c r="J107" s="398"/>
      <c r="K107" s="398"/>
      <c r="L107" s="398"/>
      <c r="M107" s="398"/>
      <c r="N107" s="398"/>
      <c r="O107" s="398"/>
      <c r="P107" s="398"/>
      <c r="Q107" s="398"/>
      <c r="R107" s="638"/>
    </row>
    <row r="108" spans="1:18" ht="6" customHeight="1">
      <c r="A108" s="398"/>
      <c r="B108" s="398"/>
      <c r="C108" s="398"/>
      <c r="D108" s="398"/>
      <c r="E108" s="398"/>
      <c r="F108" s="398"/>
      <c r="G108" s="398"/>
      <c r="H108" s="398"/>
      <c r="I108" s="398"/>
      <c r="J108" s="398"/>
      <c r="K108" s="398"/>
      <c r="L108" s="398"/>
      <c r="M108" s="398"/>
      <c r="N108" s="398"/>
      <c r="O108" s="398"/>
      <c r="P108" s="398"/>
      <c r="Q108" s="398"/>
      <c r="R108" s="638"/>
    </row>
    <row r="109" spans="1:18">
      <c r="A109" s="398"/>
      <c r="B109" s="398"/>
      <c r="C109" s="750" t="str">
        <f>CopyRight</f>
        <v>©AnalysisPlace.  www.analysisplace.com</v>
      </c>
      <c r="D109" s="750"/>
      <c r="E109" s="750"/>
      <c r="F109" s="750"/>
      <c r="G109" s="750"/>
      <c r="H109" s="750"/>
      <c r="I109" s="398"/>
      <c r="J109" s="398"/>
      <c r="K109" s="398"/>
      <c r="L109" s="398"/>
      <c r="M109" s="398"/>
      <c r="N109" s="398"/>
      <c r="O109" s="398"/>
      <c r="P109" s="398"/>
      <c r="Q109" s="398"/>
      <c r="R109" s="638"/>
    </row>
    <row r="110" spans="1:18">
      <c r="A110" s="637" t="s">
        <v>164</v>
      </c>
      <c r="B110" s="638"/>
      <c r="C110" s="638"/>
      <c r="D110" s="638"/>
      <c r="E110" s="638"/>
      <c r="F110" s="638"/>
      <c r="G110" s="638"/>
      <c r="H110" s="638"/>
      <c r="I110" s="638"/>
      <c r="J110" s="638"/>
      <c r="K110" s="638"/>
      <c r="L110" s="638"/>
      <c r="M110" s="638"/>
      <c r="N110" s="638"/>
      <c r="O110" s="638"/>
      <c r="P110" s="638"/>
      <c r="Q110" s="638"/>
      <c r="R110" s="638"/>
    </row>
  </sheetData>
  <sheetProtection selectLockedCells="1"/>
  <mergeCells count="70">
    <mergeCell ref="D28:E28"/>
    <mergeCell ref="C27:H27"/>
    <mergeCell ref="D19:H19"/>
    <mergeCell ref="C25:H25"/>
    <mergeCell ref="C23:C24"/>
    <mergeCell ref="D23:H24"/>
    <mergeCell ref="C14:H14"/>
    <mergeCell ref="C16:H16"/>
    <mergeCell ref="C20:C21"/>
    <mergeCell ref="D20:H21"/>
    <mergeCell ref="B3:P3"/>
    <mergeCell ref="D7:H7"/>
    <mergeCell ref="C10:H10"/>
    <mergeCell ref="C5:H5"/>
    <mergeCell ref="D11:H11"/>
    <mergeCell ref="D9:H9"/>
    <mergeCell ref="C109:H109"/>
    <mergeCell ref="M25:N25"/>
    <mergeCell ref="D63:E63"/>
    <mergeCell ref="C51:H51"/>
    <mergeCell ref="C46:H46"/>
    <mergeCell ref="C32:H32"/>
    <mergeCell ref="C53:F53"/>
    <mergeCell ref="D52:E52"/>
    <mergeCell ref="D57:E57"/>
    <mergeCell ref="C35:H35"/>
    <mergeCell ref="D68:E68"/>
    <mergeCell ref="D31:E31"/>
    <mergeCell ref="C105:H106"/>
    <mergeCell ref="C80:H80"/>
    <mergeCell ref="C69:H69"/>
    <mergeCell ref="F86:F87"/>
    <mergeCell ref="C104:H104"/>
    <mergeCell ref="C98:H99"/>
    <mergeCell ref="B88:H88"/>
    <mergeCell ref="B100:H100"/>
    <mergeCell ref="B73:H73"/>
    <mergeCell ref="C78:H78"/>
    <mergeCell ref="D84:F84"/>
    <mergeCell ref="C83:H83"/>
    <mergeCell ref="B79:H79"/>
    <mergeCell ref="G86:G87"/>
    <mergeCell ref="H86:H87"/>
    <mergeCell ref="C85:H85"/>
    <mergeCell ref="D86:D87"/>
    <mergeCell ref="E86:E87"/>
    <mergeCell ref="M23:N23"/>
    <mergeCell ref="M24:N24"/>
    <mergeCell ref="C64:H64"/>
    <mergeCell ref="D66:E66"/>
    <mergeCell ref="D67:E67"/>
    <mergeCell ref="D50:E50"/>
    <mergeCell ref="D60:E60"/>
    <mergeCell ref="D61:E61"/>
    <mergeCell ref="C55:H55"/>
    <mergeCell ref="D54:E54"/>
    <mergeCell ref="C48:H48"/>
    <mergeCell ref="G60:G61"/>
    <mergeCell ref="D29:E29"/>
    <mergeCell ref="C58:H58"/>
    <mergeCell ref="C41:H41"/>
    <mergeCell ref="D30:E30"/>
    <mergeCell ref="L96:P101"/>
    <mergeCell ref="C43:H43"/>
    <mergeCell ref="C45:H45"/>
    <mergeCell ref="D36:H36"/>
    <mergeCell ref="D37:H37"/>
    <mergeCell ref="D38:H38"/>
    <mergeCell ref="D39:H39"/>
    <mergeCell ref="C72:H72"/>
  </mergeCells>
  <phoneticPr fontId="15" type="noConversion"/>
  <conditionalFormatting sqref="E7:H7">
    <cfRule type="colorScale" priority="37">
      <colorScale>
        <cfvo type="num" val="0"/>
        <cfvo type="num" val="10"/>
        <color rgb="FFFFEF9C"/>
        <color rgb="FF63BE7B"/>
      </colorScale>
    </cfRule>
  </conditionalFormatting>
  <conditionalFormatting sqref="D36">
    <cfRule type="iconSet" priority="3">
      <iconSet iconSet="5Rating">
        <cfvo type="percent" val="0"/>
        <cfvo type="num" val="2"/>
        <cfvo type="num" val="3"/>
        <cfvo type="num" val="4"/>
        <cfvo type="num" val="5"/>
      </iconSet>
    </cfRule>
  </conditionalFormatting>
  <conditionalFormatting sqref="D37:D39">
    <cfRule type="iconSet" priority="2">
      <iconSet iconSet="5Rating">
        <cfvo type="percent" val="0"/>
        <cfvo type="num" val="2"/>
        <cfvo type="num" val="3"/>
        <cfvo type="num" val="4"/>
        <cfvo type="num" val="5"/>
      </iconSet>
    </cfRule>
  </conditionalFormatting>
  <conditionalFormatting sqref="D20">
    <cfRule type="iconSet" priority="1">
      <iconSet iconSet="5Rating">
        <cfvo type="percent" val="0"/>
        <cfvo type="num" val="2"/>
        <cfvo type="num" val="3"/>
        <cfvo type="num" val="4"/>
        <cfvo type="num" val="5"/>
      </iconSet>
    </cfRule>
  </conditionalFormatting>
  <dataValidations count="14">
    <dataValidation type="list" allowBlank="1" showInputMessage="1" showErrorMessage="1" sqref="D7" xr:uid="{00000000-0002-0000-0100-000000000000}">
      <formula1>ProjectTypeList</formula1>
    </dataValidation>
    <dataValidation type="list" allowBlank="1" showErrorMessage="1" errorTitle="Select from the drop-down box" sqref="D20:F20" xr:uid="{00000000-0002-0000-0100-000001000000}">
      <formula1>IndustryList</formula1>
    </dataValidation>
    <dataValidation type="list" allowBlank="1" showErrorMessage="1" errorTitle="Select from the drop-down box" sqref="D23" xr:uid="{00000000-0002-0000-0100-000002000000}">
      <formula1>CountryList</formula1>
    </dataValidation>
    <dataValidation type="list" allowBlank="1" showErrorMessage="1" errorTitle="Select from the drop-down box" sqref="D84:F84" xr:uid="{00000000-0002-0000-0100-000003000000}">
      <formula1>SiteLocationList</formula1>
    </dataValidation>
    <dataValidation type="decimal" allowBlank="1" showInputMessage="1" showErrorMessage="1" errorTitle="Invalid Input" sqref="D30:D31" xr:uid="{00000000-0002-0000-0100-000004000000}">
      <formula1>10</formula1>
      <formula2>500000</formula2>
    </dataValidation>
    <dataValidation type="list" allowBlank="1" showInputMessage="1" showErrorMessage="1" sqref="D57:E57" xr:uid="{00000000-0002-0000-0100-000005000000}">
      <formula1>"2,3,4,5,6,7,8,9,10"</formula1>
    </dataValidation>
    <dataValidation type="list" allowBlank="1" showInputMessage="1" showErrorMessage="1" errorTitle="Invalid Entry" sqref="D60:E60" xr:uid="{00000000-0002-0000-0100-000006000000}">
      <formula1>"1,2,3,4,5,6,7,8,9,10,11,12"</formula1>
    </dataValidation>
    <dataValidation type="whole" allowBlank="1" showInputMessage="1" showErrorMessage="1" errorTitle="Invalid Entry" sqref="D61:E61" xr:uid="{00000000-0002-0000-0100-000007000000}">
      <formula1>2000</formula1>
      <formula2>2500</formula2>
    </dataValidation>
    <dataValidation type="whole" allowBlank="1" showInputMessage="1" showErrorMessage="1" errorTitle="Invalid Entry" sqref="D63:E63" xr:uid="{00000000-0002-0000-0100-000008000000}">
      <formula1>1</formula1>
      <formula2>60</formula2>
    </dataValidation>
    <dataValidation type="decimal" allowBlank="1" showInputMessage="1" showErrorMessage="1" sqref="D66:E68" xr:uid="{00000000-0002-0000-0100-000009000000}">
      <formula1>0</formula1>
      <formula2>1</formula2>
    </dataValidation>
    <dataValidation type="list" allowBlank="1" showInputMessage="1" showErrorMessage="1" errorTitle="Invalid Entry" sqref="D9:H9" xr:uid="{00000000-0002-0000-0100-00000A000000}">
      <formula1>ProjectScaleList</formula1>
    </dataValidation>
    <dataValidation type="list" allowBlank="1" showInputMessage="1" showErrorMessage="1" sqref="C43:H43" xr:uid="{00000000-0002-0000-0100-00000B000000}">
      <formula1>AssessmentPurposeList</formula1>
    </dataValidation>
    <dataValidation type="list" allowBlank="1" showInputMessage="1" showErrorMessage="1" sqref="C45:H45" xr:uid="{00000000-0002-0000-0100-00000C000000}">
      <formula1>AssessmentAccuracyList</formula1>
    </dataValidation>
    <dataValidation type="list" showInputMessage="1" showErrorMessage="1" errorTitle="Invalid Entry" sqref="D36:H39" xr:uid="{00000000-0002-0000-0100-00000D000000}">
      <formula1>MaturityLevelList</formula1>
    </dataValidation>
  </dataValidations>
  <pageMargins left="0.7" right="0.7" top="0.75" bottom="0.75" header="0.3" footer="0.3"/>
  <pageSetup scale="56" fitToHeight="100" orientation="portrait" horizontalDpi="300" verticalDpi="300" r:id="rId1"/>
  <headerFooter>
    <oddHeader>&amp;CAnalysisPlace.com   IT Project ROI and Business Case Toolkit</oddHeader>
    <oddFooter>&amp;L&amp;A&amp;C&amp;F&amp;R&amp;P of &amp;N</oddFooter>
  </headerFooter>
  <rowBreaks count="1" manualBreakCount="1">
    <brk id="46"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249977111117893"/>
  </sheetPr>
  <dimension ref="A1:F48"/>
  <sheetViews>
    <sheetView showGridLines="0" workbookViewId="0" xr3:uid="{842E5F09-E766-5B8D-85AF-A39847EA96FD}"/>
  </sheetViews>
  <sheetFormatPr defaultColWidth="9.140625" defaultRowHeight="12.75"/>
  <cols>
    <col min="1" max="1" width="4.7109375" style="32" customWidth="1"/>
    <col min="2" max="2" width="19.5703125" customWidth="1"/>
    <col min="3" max="3" width="63" customWidth="1"/>
    <col min="4" max="4" width="53.140625" customWidth="1"/>
    <col min="6" max="6" width="9.140625" style="16"/>
  </cols>
  <sheetData>
    <row r="1" spans="1:6" s="105" customFormat="1" ht="22.5">
      <c r="A1" s="419"/>
      <c r="B1" s="420" t="s">
        <v>165</v>
      </c>
      <c r="C1" s="419"/>
      <c r="D1" s="419"/>
      <c r="E1" s="100" t="s">
        <v>0</v>
      </c>
      <c r="F1" s="639"/>
    </row>
    <row r="2" spans="1:6" s="32" customFormat="1" ht="27">
      <c r="A2" s="9" t="s">
        <v>166</v>
      </c>
      <c r="B2" s="398"/>
      <c r="C2" s="9"/>
      <c r="D2" s="146"/>
      <c r="E2" s="398"/>
      <c r="F2" s="639"/>
    </row>
    <row r="3" spans="1:6" s="32" customFormat="1" ht="48" customHeight="1">
      <c r="A3" s="398"/>
      <c r="B3" s="780" t="s">
        <v>167</v>
      </c>
      <c r="C3" s="780"/>
      <c r="D3" s="780"/>
      <c r="E3" s="398"/>
      <c r="F3" s="639"/>
    </row>
    <row r="4" spans="1:6" ht="22.5">
      <c r="A4" s="7" t="s">
        <v>168</v>
      </c>
      <c r="B4" s="398"/>
      <c r="C4" s="40"/>
      <c r="D4" s="40"/>
      <c r="E4" s="398"/>
      <c r="F4" s="639"/>
    </row>
    <row r="5" spans="1:6">
      <c r="A5" s="398"/>
      <c r="B5" s="285" t="s">
        <v>169</v>
      </c>
      <c r="C5" s="286" t="s">
        <v>170</v>
      </c>
      <c r="D5" s="287" t="s">
        <v>171</v>
      </c>
      <c r="E5" s="398"/>
      <c r="F5" s="639"/>
    </row>
    <row r="6" spans="1:6" ht="36">
      <c r="A6" s="398"/>
      <c r="B6" s="288" t="s">
        <v>172</v>
      </c>
      <c r="C6" s="289" t="s">
        <v>173</v>
      </c>
      <c r="D6" s="197" t="s">
        <v>174</v>
      </c>
      <c r="E6" s="398"/>
      <c r="F6" s="639"/>
    </row>
    <row r="7" spans="1:6" s="59" customFormat="1" ht="72">
      <c r="A7" s="398"/>
      <c r="B7" s="290" t="s">
        <v>65</v>
      </c>
      <c r="C7" s="291" t="s">
        <v>175</v>
      </c>
      <c r="D7" s="192" t="s">
        <v>176</v>
      </c>
      <c r="E7" s="398"/>
      <c r="F7" s="639"/>
    </row>
    <row r="8" spans="1:6" s="59" customFormat="1" ht="72">
      <c r="A8" s="398"/>
      <c r="B8" s="290" t="s">
        <v>177</v>
      </c>
      <c r="C8" s="291" t="s">
        <v>178</v>
      </c>
      <c r="D8" s="192" t="s">
        <v>179</v>
      </c>
      <c r="E8" s="398"/>
      <c r="F8" s="639"/>
    </row>
    <row r="9" spans="1:6" s="59" customFormat="1" ht="60">
      <c r="A9" s="398"/>
      <c r="B9" s="290" t="s">
        <v>180</v>
      </c>
      <c r="C9" s="291" t="s">
        <v>181</v>
      </c>
      <c r="D9" s="192" t="s">
        <v>182</v>
      </c>
      <c r="E9" s="398"/>
      <c r="F9" s="639"/>
    </row>
    <row r="10" spans="1:6" s="59" customFormat="1" ht="60">
      <c r="A10" s="398"/>
      <c r="B10" s="290" t="s">
        <v>183</v>
      </c>
      <c r="C10" s="291" t="s">
        <v>184</v>
      </c>
      <c r="D10" s="192" t="s">
        <v>185</v>
      </c>
      <c r="E10" s="398"/>
      <c r="F10" s="639"/>
    </row>
    <row r="11" spans="1:6" s="59" customFormat="1" ht="72">
      <c r="A11" s="398"/>
      <c r="B11" s="290" t="s">
        <v>186</v>
      </c>
      <c r="C11" s="291" t="s">
        <v>187</v>
      </c>
      <c r="D11" s="192" t="s">
        <v>188</v>
      </c>
      <c r="E11" s="398"/>
      <c r="F11" s="639"/>
    </row>
    <row r="12" spans="1:6" s="59" customFormat="1" ht="96">
      <c r="A12" s="398"/>
      <c r="B12" s="290" t="s">
        <v>189</v>
      </c>
      <c r="C12" s="291" t="s">
        <v>190</v>
      </c>
      <c r="D12" s="192" t="s">
        <v>191</v>
      </c>
      <c r="E12" s="398"/>
      <c r="F12" s="639"/>
    </row>
    <row r="13" spans="1:6" s="59" customFormat="1" ht="84">
      <c r="A13" s="398"/>
      <c r="B13" s="290" t="s">
        <v>192</v>
      </c>
      <c r="C13" s="291" t="s">
        <v>193</v>
      </c>
      <c r="D13" s="192" t="s">
        <v>194</v>
      </c>
      <c r="E13" s="398"/>
      <c r="F13" s="639"/>
    </row>
    <row r="14" spans="1:6" s="59" customFormat="1" ht="60">
      <c r="A14" s="398"/>
      <c r="B14" s="292" t="s">
        <v>195</v>
      </c>
      <c r="C14" s="293" t="s">
        <v>196</v>
      </c>
      <c r="D14" s="195" t="s">
        <v>197</v>
      </c>
      <c r="E14" s="398"/>
      <c r="F14" s="639"/>
    </row>
    <row r="15" spans="1:6" s="32" customFormat="1" ht="22.5">
      <c r="A15" s="7" t="s">
        <v>198</v>
      </c>
      <c r="B15" s="639"/>
      <c r="C15" s="65"/>
      <c r="D15" s="65"/>
      <c r="E15" s="398"/>
      <c r="F15" s="639"/>
    </row>
    <row r="16" spans="1:6" s="32" customFormat="1">
      <c r="A16" s="398"/>
      <c r="B16" s="196" t="str">
        <f>B5</f>
        <v>Initiative Type</v>
      </c>
      <c r="C16" s="196" t="str">
        <f>C5</f>
        <v>Key Features, Capabilities, Benefits</v>
      </c>
      <c r="D16" s="79" t="str">
        <f>D5</f>
        <v>Sample Vendors And Products</v>
      </c>
      <c r="E16" s="398"/>
      <c r="F16" s="639"/>
    </row>
    <row r="17" spans="1:6" s="59" customFormat="1" ht="48">
      <c r="A17" s="398"/>
      <c r="B17" s="288" t="s">
        <v>199</v>
      </c>
      <c r="C17" s="289" t="s">
        <v>200</v>
      </c>
      <c r="D17" s="192" t="s">
        <v>201</v>
      </c>
      <c r="E17" s="398"/>
      <c r="F17" s="398"/>
    </row>
    <row r="18" spans="1:6" s="59" customFormat="1" ht="72">
      <c r="A18" s="398"/>
      <c r="B18" s="290" t="s">
        <v>202</v>
      </c>
      <c r="C18" s="291" t="s">
        <v>203</v>
      </c>
      <c r="D18" s="192" t="s">
        <v>204</v>
      </c>
      <c r="E18" s="398"/>
      <c r="F18" s="639"/>
    </row>
    <row r="19" spans="1:6" s="59" customFormat="1" ht="48">
      <c r="A19" s="398"/>
      <c r="B19" s="290" t="s">
        <v>205</v>
      </c>
      <c r="C19" s="291" t="s">
        <v>206</v>
      </c>
      <c r="D19" s="192" t="s">
        <v>207</v>
      </c>
      <c r="E19" s="398"/>
      <c r="F19" s="639"/>
    </row>
    <row r="20" spans="1:6" s="59" customFormat="1" ht="60">
      <c r="A20" s="398"/>
      <c r="B20" s="290" t="s">
        <v>208</v>
      </c>
      <c r="C20" s="291" t="s">
        <v>209</v>
      </c>
      <c r="D20" s="192" t="s">
        <v>210</v>
      </c>
      <c r="E20" s="398"/>
      <c r="F20" s="639"/>
    </row>
    <row r="21" spans="1:6" s="59" customFormat="1" ht="48">
      <c r="A21" s="398"/>
      <c r="B21" s="290" t="s">
        <v>211</v>
      </c>
      <c r="C21" s="291" t="s">
        <v>212</v>
      </c>
      <c r="D21" s="192" t="s">
        <v>213</v>
      </c>
      <c r="E21" s="398"/>
      <c r="F21" s="639"/>
    </row>
    <row r="22" spans="1:6" s="59" customFormat="1" ht="60">
      <c r="A22" s="398"/>
      <c r="B22" s="290" t="s">
        <v>214</v>
      </c>
      <c r="C22" s="291" t="s">
        <v>215</v>
      </c>
      <c r="D22" s="192" t="s">
        <v>216</v>
      </c>
      <c r="E22" s="398"/>
      <c r="F22" s="639"/>
    </row>
    <row r="23" spans="1:6" s="59" customFormat="1" ht="38.25">
      <c r="A23" s="398"/>
      <c r="B23" s="290" t="s">
        <v>217</v>
      </c>
      <c r="C23" s="291" t="s">
        <v>218</v>
      </c>
      <c r="D23" s="192" t="s">
        <v>219</v>
      </c>
      <c r="E23" s="398"/>
      <c r="F23" s="639"/>
    </row>
    <row r="24" spans="1:6" s="59" customFormat="1" ht="72">
      <c r="A24" s="398"/>
      <c r="B24" s="290" t="s">
        <v>220</v>
      </c>
      <c r="C24" s="291" t="s">
        <v>221</v>
      </c>
      <c r="D24" s="192" t="s">
        <v>222</v>
      </c>
      <c r="E24" s="398"/>
      <c r="F24" s="639"/>
    </row>
    <row r="25" spans="1:6" s="59" customFormat="1" ht="60">
      <c r="A25" s="398"/>
      <c r="B25" s="292" t="s">
        <v>223</v>
      </c>
      <c r="C25" s="293" t="s">
        <v>224</v>
      </c>
      <c r="D25" s="195" t="s">
        <v>225</v>
      </c>
      <c r="E25" s="398"/>
      <c r="F25" s="639"/>
    </row>
    <row r="26" spans="1:6" s="105" customFormat="1" ht="38.25" hidden="1">
      <c r="A26" s="398"/>
      <c r="B26" s="193" t="s">
        <v>226</v>
      </c>
      <c r="C26" s="194" t="s">
        <v>227</v>
      </c>
      <c r="D26" s="80" t="s">
        <v>227</v>
      </c>
      <c r="E26" s="398"/>
      <c r="F26" s="639"/>
    </row>
    <row r="27" spans="1:6">
      <c r="A27" s="398"/>
      <c r="B27" s="750" t="str">
        <f>CopyRight</f>
        <v>©AnalysisPlace.  www.analysisplace.com</v>
      </c>
      <c r="C27" s="750"/>
      <c r="D27" s="750"/>
      <c r="E27" s="398"/>
      <c r="F27" s="639"/>
    </row>
    <row r="28" spans="1:6">
      <c r="A28" s="100" t="s">
        <v>164</v>
      </c>
      <c r="B28" s="398"/>
      <c r="C28" s="398"/>
      <c r="D28" s="398"/>
      <c r="E28" s="398"/>
      <c r="F28" s="639"/>
    </row>
    <row r="29" spans="1:6">
      <c r="A29" s="398"/>
      <c r="B29" s="398"/>
      <c r="C29" s="398"/>
      <c r="D29" s="398"/>
      <c r="E29" s="398"/>
      <c r="F29" s="639"/>
    </row>
    <row r="30" spans="1:6">
      <c r="A30" s="398"/>
      <c r="B30" s="398"/>
      <c r="C30" s="398"/>
      <c r="D30" s="398"/>
      <c r="E30" s="398"/>
      <c r="F30" s="639"/>
    </row>
    <row r="31" spans="1:6">
      <c r="A31" s="398"/>
      <c r="B31" s="398"/>
      <c r="C31" s="398"/>
      <c r="D31" s="398"/>
      <c r="E31" s="398"/>
      <c r="F31" s="639"/>
    </row>
    <row r="32" spans="1:6">
      <c r="A32" s="398"/>
      <c r="B32" s="398"/>
      <c r="C32" s="398"/>
      <c r="D32" s="398"/>
      <c r="E32" s="398"/>
      <c r="F32" s="639"/>
    </row>
    <row r="33" spans="1:6">
      <c r="A33" s="398"/>
      <c r="B33" s="398"/>
      <c r="C33" s="398"/>
      <c r="D33" s="398"/>
      <c r="E33" s="398"/>
      <c r="F33" s="639"/>
    </row>
    <row r="34" spans="1:6">
      <c r="A34" s="398"/>
      <c r="B34" s="398"/>
      <c r="C34" s="398"/>
      <c r="D34" s="398"/>
      <c r="E34" s="398"/>
      <c r="F34" s="639"/>
    </row>
    <row r="35" spans="1:6">
      <c r="A35" s="398"/>
      <c r="B35" s="398"/>
      <c r="C35" s="398"/>
      <c r="D35" s="398"/>
      <c r="E35" s="398"/>
      <c r="F35" s="639"/>
    </row>
    <row r="36" spans="1:6">
      <c r="A36" s="398"/>
      <c r="B36" s="398"/>
      <c r="C36" s="398"/>
      <c r="D36" s="398"/>
      <c r="E36" s="398"/>
      <c r="F36" s="639"/>
    </row>
    <row r="37" spans="1:6">
      <c r="A37" s="398"/>
      <c r="B37" s="398"/>
      <c r="C37" s="398"/>
      <c r="D37" s="398"/>
      <c r="E37" s="398"/>
      <c r="F37" s="639"/>
    </row>
    <row r="38" spans="1:6">
      <c r="A38" s="398"/>
      <c r="B38" s="398"/>
      <c r="C38" s="398"/>
      <c r="D38" s="398"/>
      <c r="E38" s="398"/>
      <c r="F38" s="639"/>
    </row>
    <row r="39" spans="1:6">
      <c r="A39" s="398"/>
      <c r="B39" s="398"/>
      <c r="C39" s="398"/>
      <c r="D39" s="398"/>
      <c r="E39" s="398"/>
      <c r="F39" s="639"/>
    </row>
    <row r="40" spans="1:6">
      <c r="A40" s="398"/>
      <c r="B40" s="398"/>
      <c r="C40" s="398"/>
      <c r="D40" s="398"/>
      <c r="E40" s="398"/>
      <c r="F40" s="639"/>
    </row>
    <row r="41" spans="1:6">
      <c r="A41" s="398"/>
      <c r="B41" s="398"/>
      <c r="C41" s="398"/>
      <c r="D41" s="398"/>
      <c r="E41" s="398"/>
      <c r="F41" s="639"/>
    </row>
    <row r="42" spans="1:6">
      <c r="A42" s="398"/>
      <c r="B42" s="398"/>
      <c r="C42" s="398"/>
      <c r="D42" s="398"/>
      <c r="E42" s="398"/>
      <c r="F42" s="639"/>
    </row>
    <row r="43" spans="1:6">
      <c r="A43" s="398"/>
      <c r="B43" s="398"/>
      <c r="C43" s="398"/>
      <c r="D43" s="398"/>
      <c r="E43" s="398"/>
      <c r="F43" s="639"/>
    </row>
    <row r="44" spans="1:6">
      <c r="A44" s="398"/>
      <c r="B44" s="398"/>
      <c r="C44" s="398"/>
      <c r="D44" s="398"/>
      <c r="E44" s="398"/>
      <c r="F44" s="639"/>
    </row>
    <row r="45" spans="1:6">
      <c r="A45" s="398"/>
      <c r="B45" s="398"/>
      <c r="C45" s="398"/>
      <c r="D45" s="398"/>
      <c r="E45" s="398"/>
      <c r="F45" s="639"/>
    </row>
    <row r="46" spans="1:6">
      <c r="A46" s="398"/>
      <c r="B46" s="398"/>
      <c r="C46" s="398"/>
      <c r="D46" s="398"/>
      <c r="E46" s="398"/>
      <c r="F46" s="639"/>
    </row>
    <row r="47" spans="1:6">
      <c r="A47" s="398"/>
      <c r="B47" s="398"/>
      <c r="C47" s="398"/>
      <c r="D47" s="398"/>
      <c r="E47" s="398"/>
      <c r="F47" s="639"/>
    </row>
    <row r="48" spans="1:6">
      <c r="A48" s="398"/>
      <c r="B48" s="398"/>
      <c r="C48" s="398"/>
      <c r="D48" s="398"/>
      <c r="E48" s="398"/>
      <c r="F48" s="639"/>
    </row>
  </sheetData>
  <sheetProtection selectLockedCells="1"/>
  <mergeCells count="2">
    <mergeCell ref="B3:D3"/>
    <mergeCell ref="B27:D27"/>
  </mergeCells>
  <hyperlinks>
    <hyperlink ref="B27" r:id="rId1" display="© Copyright, 2007, Hall Consulting &amp; Research LLC, All Rights Reserved.  www.hallcr.com" xr:uid="{00000000-0004-0000-0200-000000000000}"/>
  </hyperlinks>
  <pageMargins left="0.7" right="0.7" top="0.75" bottom="0.75" header="0.3" footer="0.3"/>
  <pageSetup scale="60" fitToHeight="100" orientation="portrait" horizontalDpi="300" verticalDpi="300" r:id="rId2"/>
  <headerFooter>
    <oddHeader>&amp;CAnalysisPlace.com   IT Project ROI and Business Case Toolkit</oddHeader>
    <oddFooter>&amp;L&amp;A&amp;C&amp;F&amp;R&amp;P of &amp;N</oddFooter>
  </headerFooter>
  <rowBreaks count="1" manualBreakCount="1">
    <brk id="14"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rgb="FFFF0000"/>
    <outlinePr summaryBelow="0" summaryRight="0"/>
  </sheetPr>
  <dimension ref="A1:N192"/>
  <sheetViews>
    <sheetView showGridLines="0" workbookViewId="0" xr3:uid="{51F8DEE0-4D01-5F28-A812-FC0BD7CAC4A5}"/>
  </sheetViews>
  <sheetFormatPr defaultColWidth="9.140625" defaultRowHeight="14.25"/>
  <cols>
    <col min="1" max="1" width="2.85546875" style="12" customWidth="1"/>
    <col min="2" max="2" width="2.42578125" style="12" customWidth="1"/>
    <col min="3" max="3" width="31.28515625" style="12" customWidth="1"/>
    <col min="4" max="4" width="19.85546875" style="12" customWidth="1"/>
    <col min="5" max="5" width="14.140625" style="12" bestFit="1" customWidth="1"/>
    <col min="6" max="6" width="13.85546875" style="12" customWidth="1"/>
    <col min="7" max="7" width="13.42578125" style="12" customWidth="1"/>
    <col min="8" max="8" width="15.85546875" style="12" customWidth="1"/>
    <col min="9" max="9" width="24.7109375" style="12" customWidth="1"/>
    <col min="10" max="10" width="1.5703125" style="5" customWidth="1"/>
    <col min="11" max="11" width="9.140625" style="5"/>
    <col min="12" max="12" width="27.28515625" style="5" customWidth="1"/>
    <col min="13" max="13" width="34" style="5" customWidth="1"/>
    <col min="14" max="16384" width="9.140625" style="5"/>
  </cols>
  <sheetData>
    <row r="1" spans="1:14" s="12" customFormat="1" ht="37.5" customHeight="1">
      <c r="A1" s="419"/>
      <c r="B1" s="420" t="s">
        <v>165</v>
      </c>
      <c r="C1" s="419"/>
      <c r="D1" s="419"/>
      <c r="E1" s="419"/>
      <c r="F1" s="419"/>
      <c r="G1" s="419"/>
      <c r="H1" s="419"/>
      <c r="I1" s="419"/>
      <c r="J1" s="419"/>
      <c r="K1" s="100" t="s">
        <v>0</v>
      </c>
      <c r="L1" s="146"/>
      <c r="M1" s="146"/>
    </row>
    <row r="2" spans="1:14" ht="27">
      <c r="A2" s="9" t="s">
        <v>19</v>
      </c>
      <c r="B2" s="9"/>
      <c r="C2" s="146"/>
      <c r="D2" s="146"/>
      <c r="E2" s="146"/>
      <c r="F2" s="146"/>
      <c r="G2" s="146"/>
      <c r="H2" s="146"/>
      <c r="I2" s="146"/>
      <c r="J2" s="146"/>
      <c r="K2" s="146"/>
      <c r="L2" s="146"/>
      <c r="M2" s="146"/>
      <c r="N2" s="12"/>
    </row>
    <row r="3" spans="1:14" ht="39" customHeight="1">
      <c r="A3" s="146"/>
      <c r="B3" s="781" t="s">
        <v>228</v>
      </c>
      <c r="C3" s="781"/>
      <c r="D3" s="781"/>
      <c r="E3" s="781"/>
      <c r="F3" s="781"/>
      <c r="G3" s="781"/>
      <c r="H3" s="781"/>
      <c r="I3" s="781"/>
      <c r="J3" s="146"/>
      <c r="K3" s="146"/>
      <c r="L3" s="146"/>
      <c r="M3" s="146"/>
      <c r="N3" s="12"/>
    </row>
    <row r="4" spans="1:14" s="12" customFormat="1" ht="22.5">
      <c r="A4" s="29" t="s">
        <v>229</v>
      </c>
      <c r="B4" s="678"/>
      <c r="C4" s="678"/>
      <c r="D4" s="678"/>
      <c r="E4" s="678"/>
      <c r="F4" s="678"/>
      <c r="G4" s="678"/>
      <c r="H4" s="678"/>
      <c r="I4" s="678"/>
      <c r="J4" s="146"/>
      <c r="K4" s="146"/>
      <c r="L4" s="146"/>
      <c r="M4" s="146"/>
    </row>
    <row r="5" spans="1:14" s="12" customFormat="1">
      <c r="A5" s="146"/>
      <c r="B5" s="146"/>
      <c r="C5" s="146"/>
      <c r="D5" s="835" t="s">
        <v>230</v>
      </c>
      <c r="E5" s="783"/>
      <c r="F5" s="782"/>
      <c r="G5" s="835" t="s">
        <v>231</v>
      </c>
      <c r="H5" s="783"/>
      <c r="I5" s="835"/>
      <c r="J5" s="146"/>
      <c r="K5" s="146"/>
      <c r="L5" s="146"/>
      <c r="M5" s="146"/>
    </row>
    <row r="6" spans="1:14" ht="25.5">
      <c r="A6" s="146"/>
      <c r="B6" s="146"/>
      <c r="C6" s="146"/>
      <c r="D6" s="694" t="str">
        <f>ROI!$E$20</f>
        <v>One-Time</v>
      </c>
      <c r="E6" s="671" t="str">
        <f>ROI!$F$20</f>
        <v>Annual Recurring</v>
      </c>
      <c r="F6" s="671" t="str">
        <f>ROI!$G$20</f>
        <v>Project Total</v>
      </c>
      <c r="G6" s="694" t="str">
        <f>$D$6</f>
        <v>One-Time</v>
      </c>
      <c r="H6" s="671" t="str">
        <f>$E$6</f>
        <v>Annual Recurring</v>
      </c>
      <c r="I6" s="671" t="str">
        <f>$F$6</f>
        <v>Project Total</v>
      </c>
      <c r="J6" s="146"/>
      <c r="K6" s="146"/>
      <c r="L6" s="146"/>
      <c r="M6" s="146"/>
      <c r="N6" s="12"/>
    </row>
    <row r="7" spans="1:14">
      <c r="A7" s="204"/>
      <c r="B7" s="204"/>
      <c r="C7" s="373" t="str">
        <f>B35</f>
        <v xml:space="preserve">Hardware </v>
      </c>
      <c r="D7" s="697">
        <f>D38</f>
        <v>41282.893525084211</v>
      </c>
      <c r="E7" s="697">
        <f>E38</f>
        <v>6192.4340287626319</v>
      </c>
      <c r="F7" s="697">
        <f>D7+ProjectTtlMultCosts*E7</f>
        <v>72245.063668897361</v>
      </c>
      <c r="G7" s="697">
        <f>G38</f>
        <v>15</v>
      </c>
      <c r="H7" s="697">
        <f>H38</f>
        <v>2.25</v>
      </c>
      <c r="I7" s="697">
        <f>G7+ProjectTtlMultCosts*H7</f>
        <v>26.249999999999996</v>
      </c>
      <c r="J7" s="146"/>
      <c r="K7" s="146"/>
      <c r="L7" s="146"/>
      <c r="M7" s="146"/>
      <c r="N7" s="12"/>
    </row>
    <row r="8" spans="1:14">
      <c r="A8" s="204"/>
      <c r="B8" s="204"/>
      <c r="C8" s="373" t="str">
        <f>B39</f>
        <v>Software</v>
      </c>
      <c r="D8" s="697">
        <f>D42</f>
        <v>85547.329360313393</v>
      </c>
      <c r="E8" s="697">
        <f>E42</f>
        <v>19675.88575287208</v>
      </c>
      <c r="F8" s="697">
        <f>D8+ProjectTtlMultCosts*E8</f>
        <v>183926.75812467374</v>
      </c>
      <c r="G8" s="697">
        <f>G42</f>
        <v>31.083333333333336</v>
      </c>
      <c r="H8" s="697">
        <f>H42</f>
        <v>7.149166666666666</v>
      </c>
      <c r="I8" s="697">
        <f>G8+ProjectTtlMultCosts*H8</f>
        <v>66.829166666666652</v>
      </c>
      <c r="J8" s="146"/>
      <c r="K8" s="146"/>
      <c r="L8" s="146"/>
      <c r="M8" s="146"/>
      <c r="N8" s="12"/>
    </row>
    <row r="9" spans="1:14">
      <c r="A9" s="204"/>
      <c r="B9" s="204"/>
      <c r="C9" s="373" t="str">
        <f>B43</f>
        <v>IT Labor, Services, &amp; Training</v>
      </c>
      <c r="D9" s="697">
        <f>D48</f>
        <v>92659.664563089987</v>
      </c>
      <c r="E9" s="697">
        <f>E48</f>
        <v>236.52699650581539</v>
      </c>
      <c r="F9" s="697">
        <f>D9+ProjectTtlMultCosts*E9</f>
        <v>93842.299545619069</v>
      </c>
      <c r="G9" s="697">
        <f>G48</f>
        <v>33.667576319519014</v>
      </c>
      <c r="H9" s="697">
        <f>H48</f>
        <v>8.5941285715146434E-2</v>
      </c>
      <c r="I9" s="697">
        <f>G9+ProjectTtlMultCosts*H9</f>
        <v>34.097282748094749</v>
      </c>
      <c r="J9" s="146"/>
      <c r="K9" s="146"/>
      <c r="L9" s="146"/>
      <c r="M9" s="146"/>
      <c r="N9" s="12"/>
    </row>
    <row r="10" spans="1:14" ht="15" thickBot="1">
      <c r="A10" s="204"/>
      <c r="B10" s="204"/>
      <c r="C10" s="373" t="str">
        <f>B49</f>
        <v>End-User Labor &amp; Training</v>
      </c>
      <c r="D10" s="697">
        <f>D52</f>
        <v>40196.976175183561</v>
      </c>
      <c r="E10" s="697">
        <f>E52</f>
        <v>4114.6615931400493</v>
      </c>
      <c r="F10" s="697">
        <f>D10+ProjectTtlMultCosts*E10</f>
        <v>60770.284140883799</v>
      </c>
      <c r="G10" s="697">
        <f>G52</f>
        <v>14.605435596741485</v>
      </c>
      <c r="H10" s="697">
        <f>H52</f>
        <v>1.4950483996379429</v>
      </c>
      <c r="I10" s="697">
        <f>G10+ProjectTtlMultCosts*H10</f>
        <v>22.080677594931196</v>
      </c>
      <c r="J10" s="146"/>
      <c r="K10" s="146"/>
      <c r="L10" s="146"/>
      <c r="M10" s="146"/>
      <c r="N10" s="12"/>
    </row>
    <row r="11" spans="1:14" ht="15" thickTop="1">
      <c r="A11" s="204"/>
      <c r="B11" s="204"/>
      <c r="C11" s="702" t="str">
        <f>$C$93</f>
        <v>Total</v>
      </c>
      <c r="D11" s="698">
        <f t="shared" ref="D11:I11" si="0">SUM(D7:D10)</f>
        <v>259686.86362367118</v>
      </c>
      <c r="E11" s="698">
        <f t="shared" si="0"/>
        <v>30219.508371280575</v>
      </c>
      <c r="F11" s="698">
        <f t="shared" si="0"/>
        <v>410784.405480074</v>
      </c>
      <c r="G11" s="698">
        <f t="shared" si="0"/>
        <v>94.356345249593844</v>
      </c>
      <c r="H11" s="698">
        <f t="shared" si="0"/>
        <v>10.980156352019755</v>
      </c>
      <c r="I11" s="698">
        <f t="shared" si="0"/>
        <v>149.2571270096926</v>
      </c>
      <c r="J11" s="146"/>
      <c r="K11" s="146"/>
      <c r="L11" s="146"/>
      <c r="M11" s="146"/>
      <c r="N11" s="12"/>
    </row>
    <row r="12" spans="1:14">
      <c r="A12" s="204"/>
      <c r="B12" s="204"/>
      <c r="C12" s="204"/>
      <c r="D12" s="204"/>
      <c r="E12" s="204"/>
      <c r="F12" s="204"/>
      <c r="G12" s="204"/>
      <c r="H12" s="146"/>
      <c r="I12" s="146"/>
      <c r="J12" s="146"/>
      <c r="K12" s="146"/>
      <c r="L12" s="146"/>
      <c r="M12" s="146"/>
      <c r="N12" s="12"/>
    </row>
    <row r="13" spans="1:14">
      <c r="A13" s="204"/>
      <c r="B13" s="204"/>
      <c r="C13" s="204"/>
      <c r="D13" s="204"/>
      <c r="E13" s="204"/>
      <c r="F13" s="204"/>
      <c r="G13" s="204"/>
      <c r="H13" s="204"/>
      <c r="I13" s="204"/>
      <c r="J13" s="204"/>
      <c r="K13" s="146"/>
      <c r="L13" s="146"/>
      <c r="M13" s="146"/>
      <c r="N13" s="12"/>
    </row>
    <row r="14" spans="1:14">
      <c r="A14" s="204"/>
      <c r="B14" s="204"/>
      <c r="C14" s="204"/>
      <c r="D14" s="204"/>
      <c r="E14" s="204"/>
      <c r="F14" s="204"/>
      <c r="G14" s="204"/>
      <c r="H14" s="204"/>
      <c r="I14" s="204"/>
      <c r="J14" s="146"/>
      <c r="K14" s="12"/>
      <c r="L14" s="397" t="s">
        <v>232</v>
      </c>
      <c r="M14" s="639"/>
      <c r="N14" s="639"/>
    </row>
    <row r="15" spans="1:14">
      <c r="A15" s="204"/>
      <c r="B15" s="204"/>
      <c r="C15" s="204"/>
      <c r="D15" s="204"/>
      <c r="E15" s="204"/>
      <c r="F15" s="204"/>
      <c r="G15" s="204"/>
      <c r="H15" s="204"/>
      <c r="I15" s="204"/>
      <c r="J15" s="204"/>
      <c r="K15" s="12"/>
      <c r="L15" s="640" t="s">
        <v>10</v>
      </c>
      <c r="M15" s="294" t="s">
        <v>233</v>
      </c>
      <c r="N15" s="642" t="s">
        <v>234</v>
      </c>
    </row>
    <row r="16" spans="1:14">
      <c r="A16" s="204"/>
      <c r="B16" s="204"/>
      <c r="C16" s="204"/>
      <c r="D16" s="204"/>
      <c r="E16" s="204"/>
      <c r="F16" s="204"/>
      <c r="G16" s="204"/>
      <c r="H16" s="204"/>
      <c r="I16" s="204"/>
      <c r="J16" s="204"/>
      <c r="K16" s="12"/>
      <c r="L16" s="640" t="s">
        <v>235</v>
      </c>
      <c r="M16" s="295" t="s">
        <v>236</v>
      </c>
      <c r="N16" s="181" t="s">
        <v>237</v>
      </c>
    </row>
    <row r="17" spans="1:14">
      <c r="A17" s="204"/>
      <c r="B17" s="204"/>
      <c r="C17" s="204"/>
      <c r="D17" s="204"/>
      <c r="E17" s="204"/>
      <c r="F17" s="204"/>
      <c r="G17" s="204"/>
      <c r="H17" s="204"/>
      <c r="I17" s="204"/>
      <c r="J17" s="204"/>
      <c r="K17" s="12"/>
      <c r="L17" s="640" t="s">
        <v>238</v>
      </c>
      <c r="M17" s="113"/>
      <c r="N17" s="113"/>
    </row>
    <row r="18" spans="1:14">
      <c r="A18" s="204"/>
      <c r="B18" s="204"/>
      <c r="C18" s="204"/>
      <c r="D18" s="204"/>
      <c r="E18" s="204"/>
      <c r="F18" s="204"/>
      <c r="G18" s="204"/>
      <c r="H18" s="204"/>
      <c r="I18" s="204"/>
      <c r="J18" s="204"/>
      <c r="K18" s="12"/>
      <c r="L18" s="406" t="s">
        <v>239</v>
      </c>
      <c r="M18" s="181"/>
      <c r="N18" s="181"/>
    </row>
    <row r="19" spans="1:14">
      <c r="A19" s="204"/>
      <c r="B19" s="204"/>
      <c r="C19" s="204"/>
      <c r="D19" s="204"/>
      <c r="E19" s="204"/>
      <c r="F19" s="204"/>
      <c r="G19" s="204"/>
      <c r="H19" s="204"/>
      <c r="I19" s="204"/>
      <c r="J19" s="204"/>
      <c r="K19" s="146"/>
      <c r="L19" s="146"/>
      <c r="M19" s="146"/>
      <c r="N19" s="12"/>
    </row>
    <row r="20" spans="1:14">
      <c r="A20" s="146"/>
      <c r="B20" s="146"/>
      <c r="C20" s="204"/>
      <c r="D20" s="204"/>
      <c r="E20" s="204"/>
      <c r="F20" s="204"/>
      <c r="G20" s="204"/>
      <c r="H20" s="204"/>
      <c r="I20" s="204"/>
      <c r="J20" s="204"/>
      <c r="K20" s="146"/>
      <c r="L20" s="146"/>
      <c r="M20" s="146"/>
      <c r="N20" s="12"/>
    </row>
    <row r="21" spans="1:14">
      <c r="A21" s="146"/>
      <c r="B21" s="146"/>
      <c r="C21" s="204"/>
      <c r="D21" s="204"/>
      <c r="E21" s="204"/>
      <c r="F21" s="204"/>
      <c r="G21" s="204"/>
      <c r="H21" s="204"/>
      <c r="I21" s="204"/>
      <c r="J21" s="204"/>
      <c r="K21" s="146"/>
      <c r="L21" s="146"/>
      <c r="M21" s="146"/>
      <c r="N21" s="12"/>
    </row>
    <row r="22" spans="1:14">
      <c r="A22" s="146"/>
      <c r="B22" s="146"/>
      <c r="C22" s="146"/>
      <c r="D22" s="146"/>
      <c r="E22" s="146"/>
      <c r="F22" s="146"/>
      <c r="G22" s="146"/>
      <c r="H22" s="146"/>
      <c r="I22" s="146"/>
      <c r="J22" s="146"/>
      <c r="K22" s="146"/>
      <c r="L22" s="146"/>
      <c r="M22" s="146"/>
      <c r="N22" s="12"/>
    </row>
    <row r="23" spans="1:14">
      <c r="A23" s="146"/>
      <c r="B23" s="146"/>
      <c r="C23" s="146"/>
      <c r="D23" s="146"/>
      <c r="E23" s="146"/>
      <c r="F23" s="146"/>
      <c r="G23" s="146"/>
      <c r="H23" s="146"/>
      <c r="I23" s="146"/>
      <c r="J23" s="146"/>
      <c r="K23" s="146"/>
      <c r="L23" s="146"/>
      <c r="M23" s="146"/>
      <c r="N23" s="12"/>
    </row>
    <row r="24" spans="1:14">
      <c r="A24" s="146"/>
      <c r="B24" s="146"/>
      <c r="C24" s="146"/>
      <c r="D24" s="146"/>
      <c r="E24" s="146"/>
      <c r="F24" s="146"/>
      <c r="G24" s="146"/>
      <c r="H24" s="146"/>
      <c r="I24" s="146"/>
      <c r="J24" s="146"/>
      <c r="K24" s="146"/>
      <c r="L24" s="146"/>
      <c r="M24" s="146"/>
      <c r="N24" s="12"/>
    </row>
    <row r="25" spans="1:14">
      <c r="A25" s="146"/>
      <c r="B25" s="146"/>
      <c r="C25" s="146"/>
      <c r="D25" s="146"/>
      <c r="E25" s="146"/>
      <c r="F25" s="146"/>
      <c r="G25" s="146"/>
      <c r="H25" s="146"/>
      <c r="I25" s="146"/>
      <c r="J25" s="146"/>
      <c r="K25" s="146"/>
      <c r="L25" s="146"/>
      <c r="M25" s="146"/>
      <c r="N25" s="12"/>
    </row>
    <row r="26" spans="1:14">
      <c r="A26" s="146"/>
      <c r="B26" s="146"/>
      <c r="C26" s="146"/>
      <c r="D26" s="146"/>
      <c r="E26" s="146"/>
      <c r="F26" s="146"/>
      <c r="G26" s="146"/>
      <c r="H26" s="146"/>
      <c r="I26" s="146"/>
      <c r="J26" s="146"/>
      <c r="K26" s="146"/>
      <c r="L26" s="146"/>
      <c r="M26" s="146"/>
      <c r="N26" s="12"/>
    </row>
    <row r="27" spans="1:14">
      <c r="A27" s="146"/>
      <c r="B27" s="146"/>
      <c r="C27" s="146"/>
      <c r="D27" s="146"/>
      <c r="E27" s="146"/>
      <c r="F27" s="146"/>
      <c r="G27" s="146"/>
      <c r="H27" s="146"/>
      <c r="I27" s="146"/>
      <c r="J27" s="146"/>
      <c r="K27" s="146"/>
      <c r="L27" s="146"/>
      <c r="M27" s="146"/>
      <c r="N27" s="12"/>
    </row>
    <row r="28" spans="1:14">
      <c r="A28" s="146"/>
      <c r="B28" s="146"/>
      <c r="C28" s="146"/>
      <c r="D28" s="146"/>
      <c r="E28" s="146"/>
      <c r="F28" s="146"/>
      <c r="G28" s="146"/>
      <c r="H28" s="146"/>
      <c r="I28" s="146"/>
      <c r="J28" s="146"/>
      <c r="K28" s="146"/>
      <c r="L28" s="146"/>
      <c r="M28" s="146"/>
      <c r="N28" s="12"/>
    </row>
    <row r="29" spans="1:14">
      <c r="A29" s="146"/>
      <c r="B29" s="146"/>
      <c r="C29" s="146"/>
      <c r="D29" s="146"/>
      <c r="E29" s="146"/>
      <c r="F29" s="146"/>
      <c r="G29" s="146"/>
      <c r="H29" s="146"/>
      <c r="I29" s="146"/>
      <c r="J29" s="146"/>
      <c r="K29" s="146"/>
      <c r="L29" s="146"/>
      <c r="M29" s="146"/>
      <c r="N29" s="12"/>
    </row>
    <row r="30" spans="1:14">
      <c r="A30" s="146"/>
      <c r="B30" s="146"/>
      <c r="C30" s="146"/>
      <c r="D30" s="146"/>
      <c r="E30" s="146"/>
      <c r="F30" s="146"/>
      <c r="G30" s="146"/>
      <c r="H30" s="146"/>
      <c r="I30" s="146"/>
      <c r="J30" s="146"/>
      <c r="K30" s="146"/>
      <c r="L30" s="146"/>
      <c r="M30" s="146"/>
      <c r="N30" s="12"/>
    </row>
    <row r="31" spans="1:14">
      <c r="A31" s="146"/>
      <c r="B31" s="146"/>
      <c r="C31" s="146"/>
      <c r="D31" s="146"/>
      <c r="E31" s="146"/>
      <c r="F31" s="146"/>
      <c r="G31" s="146"/>
      <c r="H31" s="146"/>
      <c r="I31" s="146"/>
      <c r="J31" s="146"/>
      <c r="K31" s="146"/>
      <c r="L31" s="146"/>
      <c r="M31" s="146"/>
      <c r="N31" s="12"/>
    </row>
    <row r="32" spans="1:14">
      <c r="A32" s="146"/>
      <c r="B32" s="146"/>
      <c r="C32" s="146"/>
      <c r="D32" s="146"/>
      <c r="E32" s="146"/>
      <c r="F32" s="146"/>
      <c r="G32" s="146"/>
      <c r="H32" s="146"/>
      <c r="I32" s="146"/>
      <c r="J32" s="146"/>
      <c r="K32" s="146"/>
      <c r="L32" s="146"/>
      <c r="M32" s="146"/>
      <c r="N32" s="12"/>
    </row>
    <row r="33" spans="1:13" ht="22.5">
      <c r="A33" s="22" t="s">
        <v>240</v>
      </c>
      <c r="B33" s="22"/>
      <c r="C33" s="146"/>
      <c r="D33" s="835" t="str">
        <f>D5</f>
        <v>Organization Total</v>
      </c>
      <c r="E33" s="783"/>
      <c r="F33" s="782"/>
      <c r="G33" s="835" t="str">
        <f>G5</f>
        <v>Per PC</v>
      </c>
      <c r="H33" s="783"/>
      <c r="I33" s="835"/>
      <c r="J33" s="146"/>
      <c r="K33" s="146"/>
      <c r="L33" s="146"/>
      <c r="M33" s="146"/>
    </row>
    <row r="34" spans="1:13" ht="25.5">
      <c r="A34" s="26"/>
      <c r="B34" s="205"/>
      <c r="C34" s="146"/>
      <c r="D34" s="694" t="str">
        <f>$D$6</f>
        <v>One-Time</v>
      </c>
      <c r="E34" s="671" t="str">
        <f>$E$6</f>
        <v>Annual Recurring</v>
      </c>
      <c r="F34" s="671" t="str">
        <f>$F$6</f>
        <v>Project Total</v>
      </c>
      <c r="G34" s="694" t="str">
        <f>$D$6</f>
        <v>One-Time</v>
      </c>
      <c r="H34" s="671" t="str">
        <f>$E$6</f>
        <v>Annual Recurring</v>
      </c>
      <c r="I34" s="671" t="str">
        <f>$F$6</f>
        <v>Project Total</v>
      </c>
      <c r="J34" s="146"/>
      <c r="K34" s="146"/>
      <c r="L34" s="146"/>
      <c r="M34" s="146"/>
    </row>
    <row r="35" spans="1:13" s="12" customFormat="1">
      <c r="A35" s="204"/>
      <c r="B35" s="8" t="str">
        <f>A76</f>
        <v xml:space="preserve">Hardware </v>
      </c>
      <c r="C35" s="146"/>
      <c r="D35" s="146"/>
      <c r="E35" s="146"/>
      <c r="F35" s="146"/>
      <c r="G35" s="146"/>
      <c r="H35" s="146"/>
      <c r="I35" s="146"/>
      <c r="J35" s="146"/>
      <c r="K35" s="146"/>
      <c r="L35" s="146"/>
      <c r="M35" s="146"/>
    </row>
    <row r="36" spans="1:13" s="12" customFormat="1">
      <c r="A36" s="204"/>
      <c r="B36" s="204"/>
      <c r="C36" s="373" t="str">
        <f>B80</f>
        <v>Client Hardware</v>
      </c>
      <c r="D36" s="697">
        <f>F86</f>
        <v>0</v>
      </c>
      <c r="E36" s="697">
        <f>G86</f>
        <v>0</v>
      </c>
      <c r="F36" s="697">
        <f>D36+ProjectTtlMultCosts*E36</f>
        <v>0</v>
      </c>
      <c r="G36" s="697">
        <f>D36/PCUsers</f>
        <v>0</v>
      </c>
      <c r="H36" s="697">
        <f>E36/PCUsers</f>
        <v>0</v>
      </c>
      <c r="I36" s="697">
        <f>G36+ProjectTtlMultCosts*H36</f>
        <v>0</v>
      </c>
      <c r="J36" s="146"/>
      <c r="K36" s="146"/>
      <c r="L36" s="146"/>
      <c r="M36" s="146"/>
    </row>
    <row r="37" spans="1:13" s="12" customFormat="1" ht="15" thickBot="1">
      <c r="A37" s="204"/>
      <c r="B37" s="204"/>
      <c r="C37" s="836" t="str">
        <f>B87</f>
        <v>Data Center Hardware</v>
      </c>
      <c r="D37" s="539">
        <f>F92</f>
        <v>41282.893525084211</v>
      </c>
      <c r="E37" s="539">
        <f>G92</f>
        <v>6192.4340287626319</v>
      </c>
      <c r="F37" s="697">
        <f>D37+ProjectTtlMultCosts*E37</f>
        <v>72245.063668897361</v>
      </c>
      <c r="G37" s="697">
        <f>D37/PCUsers</f>
        <v>15</v>
      </c>
      <c r="H37" s="697">
        <f>E37/PCUsers</f>
        <v>2.25</v>
      </c>
      <c r="I37" s="697">
        <f>G37+ProjectTtlMultCosts*H37</f>
        <v>26.249999999999996</v>
      </c>
      <c r="J37" s="146"/>
      <c r="K37" s="146"/>
      <c r="L37" s="146"/>
      <c r="M37" s="146"/>
    </row>
    <row r="38" spans="1:13" s="12" customFormat="1" ht="15" thickTop="1">
      <c r="A38" s="204"/>
      <c r="B38" s="204"/>
      <c r="C38" s="702" t="str">
        <f>C52</f>
        <v>Sub Total</v>
      </c>
      <c r="D38" s="540">
        <f>SUM(D36:D37)</f>
        <v>41282.893525084211</v>
      </c>
      <c r="E38" s="698">
        <f>SUM(E36:E37)</f>
        <v>6192.4340287626319</v>
      </c>
      <c r="F38" s="698">
        <f>SUM(F36:F37)</f>
        <v>72245.063668897361</v>
      </c>
      <c r="G38" s="698">
        <f>SUM(G36:G37)</f>
        <v>15</v>
      </c>
      <c r="H38" s="698">
        <f>SUM(H36:H37)</f>
        <v>2.25</v>
      </c>
      <c r="I38" s="698">
        <f>G38+ProjectTtlMultCosts*H38</f>
        <v>26.249999999999996</v>
      </c>
      <c r="J38" s="146"/>
      <c r="K38" s="146"/>
      <c r="L38" s="146"/>
      <c r="M38" s="146"/>
    </row>
    <row r="39" spans="1:13" s="12" customFormat="1">
      <c r="A39" s="204"/>
      <c r="B39" s="8" t="str">
        <f>A95</f>
        <v>Software</v>
      </c>
      <c r="C39" s="146"/>
      <c r="D39" s="146"/>
      <c r="E39" s="146"/>
      <c r="F39" s="146"/>
      <c r="G39" s="146"/>
      <c r="H39" s="146"/>
      <c r="I39" s="146"/>
      <c r="J39" s="146"/>
      <c r="K39" s="146"/>
      <c r="L39" s="146"/>
      <c r="M39" s="146"/>
    </row>
    <row r="40" spans="1:13" s="12" customFormat="1">
      <c r="A40" s="204"/>
      <c r="B40" s="204"/>
      <c r="C40" s="373" t="str">
        <f>B98</f>
        <v>Client Software</v>
      </c>
      <c r="D40" s="697">
        <f>F104</f>
        <v>28209.977242140878</v>
      </c>
      <c r="E40" s="697">
        <f>G104</f>
        <v>6488.2947656924007</v>
      </c>
      <c r="F40" s="697">
        <f>D40+ProjectTtlMultCosts*E40</f>
        <v>60651.451070602867</v>
      </c>
      <c r="G40" s="697">
        <f>D40/PCUsers</f>
        <v>10.25</v>
      </c>
      <c r="H40" s="697">
        <f>E40/PCUsers</f>
        <v>2.3574999999999995</v>
      </c>
      <c r="I40" s="697">
        <f>G40+ProjectTtlMultCosts*H40</f>
        <v>22.037499999999994</v>
      </c>
      <c r="J40" s="146"/>
      <c r="K40" s="146"/>
      <c r="L40" s="146"/>
      <c r="M40" s="146"/>
    </row>
    <row r="41" spans="1:13" s="12" customFormat="1" ht="15" thickBot="1">
      <c r="A41" s="204"/>
      <c r="B41" s="204"/>
      <c r="C41" s="836" t="str">
        <f>B105</f>
        <v>Server Software</v>
      </c>
      <c r="D41" s="539">
        <f>F111</f>
        <v>57337.352118172515</v>
      </c>
      <c r="E41" s="539">
        <f>G111</f>
        <v>13187.590987179679</v>
      </c>
      <c r="F41" s="697">
        <f>D41+ProjectTtlMultCosts*E41</f>
        <v>123275.3070540709</v>
      </c>
      <c r="G41" s="697">
        <f>D41/PCUsers</f>
        <v>20.833333333333336</v>
      </c>
      <c r="H41" s="697">
        <f>E41/PCUsers</f>
        <v>4.791666666666667</v>
      </c>
      <c r="I41" s="697">
        <f>G41+ProjectTtlMultCosts*H41</f>
        <v>44.791666666666657</v>
      </c>
      <c r="J41" s="146"/>
      <c r="K41" s="146"/>
      <c r="L41" s="146"/>
      <c r="M41" s="146"/>
    </row>
    <row r="42" spans="1:13" s="12" customFormat="1" ht="15" thickTop="1">
      <c r="A42" s="204"/>
      <c r="B42" s="204"/>
      <c r="C42" s="702" t="str">
        <f>C52</f>
        <v>Sub Total</v>
      </c>
      <c r="D42" s="540">
        <f>SUM(D40:D41)</f>
        <v>85547.329360313393</v>
      </c>
      <c r="E42" s="698">
        <f>SUM(E40:E41)</f>
        <v>19675.88575287208</v>
      </c>
      <c r="F42" s="698">
        <f>SUM(F40:F41)</f>
        <v>183926.75812467377</v>
      </c>
      <c r="G42" s="698">
        <f>SUM(G40:G41)</f>
        <v>31.083333333333336</v>
      </c>
      <c r="H42" s="698">
        <f>SUM(H40:H41)</f>
        <v>7.149166666666666</v>
      </c>
      <c r="I42" s="698">
        <f>G42+ProjectTtlMultCosts*H42</f>
        <v>66.829166666666652</v>
      </c>
      <c r="J42" s="146"/>
      <c r="K42" s="146"/>
      <c r="L42" s="146"/>
      <c r="M42" s="146"/>
    </row>
    <row r="43" spans="1:13">
      <c r="A43" s="204"/>
      <c r="B43" s="8" t="str">
        <f>A114</f>
        <v>IT Labor, Services, &amp; Training</v>
      </c>
      <c r="C43" s="146"/>
      <c r="D43" s="146"/>
      <c r="E43" s="146"/>
      <c r="F43" s="146"/>
      <c r="G43" s="146"/>
      <c r="H43" s="146"/>
      <c r="I43" s="146"/>
      <c r="J43" s="146"/>
      <c r="K43" s="146"/>
      <c r="L43" s="146"/>
      <c r="M43" s="146"/>
    </row>
    <row r="44" spans="1:13" s="12" customFormat="1">
      <c r="A44" s="204"/>
      <c r="B44" s="204"/>
      <c r="C44" s="373" t="str">
        <f>B116</f>
        <v>One-time Implementation Labor/Services</v>
      </c>
      <c r="D44" s="697">
        <f>E131</f>
        <v>49488.725422755226</v>
      </c>
      <c r="E44" s="697">
        <f>F131</f>
        <v>0</v>
      </c>
      <c r="F44" s="697">
        <f>D44+ProjectTtlMultCosts*E44</f>
        <v>49488.725422755226</v>
      </c>
      <c r="G44" s="697">
        <f t="shared" ref="G44:H47" si="1">D44/PCUsers</f>
        <v>17.981561318861409</v>
      </c>
      <c r="H44" s="697">
        <f t="shared" si="1"/>
        <v>0</v>
      </c>
      <c r="I44" s="697">
        <f>G44+ProjectTtlMultCosts*H44</f>
        <v>17.981561318861409</v>
      </c>
      <c r="J44" s="146"/>
      <c r="K44" s="146"/>
      <c r="L44" s="146"/>
      <c r="M44" s="146"/>
    </row>
    <row r="45" spans="1:13" s="12" customFormat="1">
      <c r="A45" s="204"/>
      <c r="B45" s="204"/>
      <c r="C45" s="373" t="str">
        <f>B134</f>
        <v>Annual On-Going Labor/Services</v>
      </c>
      <c r="D45" s="697">
        <f>E146</f>
        <v>0</v>
      </c>
      <c r="E45" s="697">
        <f>F146</f>
        <v>236.52699650581539</v>
      </c>
      <c r="F45" s="697">
        <f>D45+ProjectTtlMultCosts*E45</f>
        <v>1182.6349825290765</v>
      </c>
      <c r="G45" s="697">
        <f t="shared" si="1"/>
        <v>0</v>
      </c>
      <c r="H45" s="697">
        <f t="shared" si="1"/>
        <v>8.5941285715146434E-2</v>
      </c>
      <c r="I45" s="697">
        <f>G45+ProjectTtlMultCosts*H45</f>
        <v>0.42970642857573205</v>
      </c>
      <c r="J45" s="146"/>
      <c r="K45" s="146"/>
      <c r="L45" s="146"/>
      <c r="M45" s="146"/>
    </row>
    <row r="46" spans="1:13" s="12" customFormat="1">
      <c r="A46" s="204"/>
      <c r="B46" s="204"/>
      <c r="C46" s="373" t="str">
        <f>B149</f>
        <v>Incremental Help Desk Calls</v>
      </c>
      <c r="D46" s="697">
        <f>D154</f>
        <v>2701.5601757334543</v>
      </c>
      <c r="E46" s="697"/>
      <c r="F46" s="697">
        <f>D46+ProjectTtlMultCosts*E46</f>
        <v>2701.5601757334543</v>
      </c>
      <c r="G46" s="697">
        <f t="shared" si="1"/>
        <v>0.98160276995552853</v>
      </c>
      <c r="H46" s="697">
        <f t="shared" si="1"/>
        <v>0</v>
      </c>
      <c r="I46" s="697">
        <f>G46+ProjectTtlMultCosts*H46</f>
        <v>0.98160276995552853</v>
      </c>
      <c r="J46" s="146"/>
      <c r="K46" s="146"/>
      <c r="L46" s="146"/>
      <c r="M46" s="146"/>
    </row>
    <row r="47" spans="1:13" s="12" customFormat="1" ht="15" thickBot="1">
      <c r="A47" s="204"/>
      <c r="B47" s="204"/>
      <c r="C47" s="836" t="str">
        <f>B156</f>
        <v>IT Training</v>
      </c>
      <c r="D47" s="697">
        <f>G164</f>
        <v>40469.378964601317</v>
      </c>
      <c r="E47" s="697"/>
      <c r="F47" s="697">
        <f>D47+ProjectTtlMultCosts*E47</f>
        <v>40469.378964601317</v>
      </c>
      <c r="G47" s="697">
        <f t="shared" si="1"/>
        <v>14.704412230702076</v>
      </c>
      <c r="H47" s="697">
        <f t="shared" si="1"/>
        <v>0</v>
      </c>
      <c r="I47" s="697">
        <f>G47+ProjectTtlMultCosts*H47</f>
        <v>14.704412230702076</v>
      </c>
      <c r="J47" s="146"/>
      <c r="K47" s="146"/>
      <c r="L47" s="146"/>
      <c r="M47" s="146"/>
    </row>
    <row r="48" spans="1:13" s="12" customFormat="1" ht="15" thickTop="1">
      <c r="A48" s="204"/>
      <c r="B48" s="204"/>
      <c r="C48" s="702" t="str">
        <f>C52</f>
        <v>Sub Total</v>
      </c>
      <c r="D48" s="540">
        <f>SUM(D44:D47)</f>
        <v>92659.664563089987</v>
      </c>
      <c r="E48" s="698">
        <f>SUM(E44:E47)</f>
        <v>236.52699650581539</v>
      </c>
      <c r="F48" s="698">
        <f>SUM(F44:F47)</f>
        <v>93842.299545619069</v>
      </c>
      <c r="G48" s="698">
        <f>SUM(G44:G47)</f>
        <v>33.667576319519014</v>
      </c>
      <c r="H48" s="698">
        <f>SUM(H44:H47)</f>
        <v>8.5941285715146434E-2</v>
      </c>
      <c r="I48" s="698">
        <f>G48+ProjectTtlMultCosts*H48</f>
        <v>34.097282748094749</v>
      </c>
      <c r="J48" s="146"/>
      <c r="K48" s="146"/>
      <c r="L48" s="146"/>
      <c r="M48" s="146"/>
    </row>
    <row r="49" spans="1:14" s="12" customFormat="1">
      <c r="A49" s="204"/>
      <c r="B49" s="8" t="str">
        <f>A166</f>
        <v>End-User Labor &amp; Training</v>
      </c>
      <c r="C49" s="146"/>
      <c r="D49" s="146"/>
      <c r="E49" s="146"/>
      <c r="F49" s="146"/>
      <c r="G49" s="146"/>
      <c r="H49" s="146"/>
      <c r="I49" s="146"/>
      <c r="J49" s="146"/>
      <c r="K49" s="146"/>
      <c r="L49" s="146"/>
      <c r="M49" s="146"/>
    </row>
    <row r="50" spans="1:14" s="12" customFormat="1">
      <c r="A50" s="204"/>
      <c r="B50" s="204"/>
      <c r="C50" s="373" t="str">
        <f>B168</f>
        <v>End-User Labor</v>
      </c>
      <c r="D50" s="697">
        <f>F178</f>
        <v>10444.910197970894</v>
      </c>
      <c r="E50" s="697">
        <f>G178</f>
        <v>4114.6615931400493</v>
      </c>
      <c r="F50" s="697">
        <f>D50+ProjectTtlMultCosts*E50</f>
        <v>31018.218163671132</v>
      </c>
      <c r="G50" s="697">
        <f>D50/PCUsers</f>
        <v>3.7951228606193932</v>
      </c>
      <c r="H50" s="697">
        <f>E50/PCUsers</f>
        <v>1.4950483996379429</v>
      </c>
      <c r="I50" s="697">
        <f>G50+ProjectTtlMultCosts*H50</f>
        <v>11.270364858809105</v>
      </c>
      <c r="J50" s="146"/>
      <c r="K50" s="146"/>
      <c r="L50" s="146"/>
      <c r="M50" s="146"/>
    </row>
    <row r="51" spans="1:14" ht="15" thickBot="1">
      <c r="A51" s="204"/>
      <c r="B51" s="204"/>
      <c r="C51" s="373" t="str">
        <f>B180</f>
        <v>End-User Training</v>
      </c>
      <c r="D51" s="539">
        <f>G189</f>
        <v>29752.065977212667</v>
      </c>
      <c r="E51" s="541"/>
      <c r="F51" s="541">
        <f>D51+ProjectTtlMultCosts*E51</f>
        <v>29752.065977212667</v>
      </c>
      <c r="G51" s="697">
        <f>D51/PCUsers</f>
        <v>10.810312736122091</v>
      </c>
      <c r="H51" s="697">
        <f>E51/PCUsers</f>
        <v>0</v>
      </c>
      <c r="I51" s="697">
        <f>G51+ProjectTtlMultCosts*H51</f>
        <v>10.810312736122091</v>
      </c>
      <c r="J51" s="146"/>
      <c r="K51" s="146"/>
      <c r="L51" s="146"/>
      <c r="M51" s="146"/>
      <c r="N51" s="12"/>
    </row>
    <row r="52" spans="1:14" s="12" customFormat="1" ht="15.75" thickTop="1" thickBot="1">
      <c r="A52" s="204"/>
      <c r="B52" s="204"/>
      <c r="C52" s="702" t="str">
        <f>$C$86</f>
        <v>Sub Total</v>
      </c>
      <c r="D52" s="698">
        <f>SUM(D50:D51)</f>
        <v>40196.976175183561</v>
      </c>
      <c r="E52" s="698">
        <f>SUM(E50:E51)</f>
        <v>4114.6615931400493</v>
      </c>
      <c r="F52" s="698">
        <f>SUM(F50:F51)</f>
        <v>60770.284140883799</v>
      </c>
      <c r="G52" s="698">
        <f>SUM(G50:G51)</f>
        <v>14.605435596741485</v>
      </c>
      <c r="H52" s="698">
        <f>SUM(H50:H51)</f>
        <v>1.4950483996379429</v>
      </c>
      <c r="I52" s="698">
        <f>G52+ProjectTtlMultCosts*H52</f>
        <v>22.080677594931196</v>
      </c>
      <c r="J52" s="146"/>
      <c r="K52" s="146"/>
      <c r="L52" s="146"/>
      <c r="M52" s="146"/>
    </row>
    <row r="53" spans="1:14" s="12" customFormat="1" ht="15" thickTop="1">
      <c r="A53" s="204"/>
      <c r="B53" s="204"/>
      <c r="C53" s="702" t="str">
        <f>$C$93</f>
        <v>Total</v>
      </c>
      <c r="D53" s="698">
        <f>SUM(D38,D42,D48,D52)</f>
        <v>259686.86362367118</v>
      </c>
      <c r="E53" s="698">
        <f>SUM(E38,E42,E48,E52)</f>
        <v>30219.508371280575</v>
      </c>
      <c r="F53" s="698">
        <f>SUM(F38,F42,F48,F52)</f>
        <v>410784.405480074</v>
      </c>
      <c r="G53" s="698">
        <f>SUM(G38,G42,G48,G52)</f>
        <v>94.356345249593844</v>
      </c>
      <c r="H53" s="698">
        <f>SUM(H38,H42,H48,H52)</f>
        <v>10.980156352019755</v>
      </c>
      <c r="I53" s="698">
        <f>G53+ProjectTtlMultCosts*H53</f>
        <v>149.2571270096926</v>
      </c>
      <c r="J53" s="146"/>
      <c r="K53" s="146"/>
      <c r="L53" s="146"/>
      <c r="M53" s="146"/>
    </row>
    <row r="54" spans="1:14" s="12" customFormat="1">
      <c r="A54" s="204"/>
      <c r="B54" s="204"/>
      <c r="C54" s="204"/>
      <c r="D54" s="204"/>
      <c r="E54" s="204"/>
      <c r="F54" s="204"/>
      <c r="G54" s="204"/>
      <c r="H54" s="204"/>
      <c r="I54" s="204"/>
      <c r="J54" s="146"/>
      <c r="K54" s="146"/>
      <c r="L54" s="146"/>
      <c r="M54" s="146"/>
    </row>
    <row r="55" spans="1:14">
      <c r="A55" s="146"/>
      <c r="B55" s="146"/>
      <c r="C55" s="146"/>
      <c r="D55" s="146"/>
      <c r="E55" s="146"/>
      <c r="F55" s="146"/>
      <c r="G55" s="146"/>
      <c r="H55" s="146"/>
      <c r="I55" s="146"/>
      <c r="J55" s="146"/>
      <c r="K55" s="146"/>
      <c r="L55" s="146"/>
      <c r="M55" s="146"/>
      <c r="N55" s="12"/>
    </row>
    <row r="56" spans="1:14">
      <c r="A56" s="146"/>
      <c r="B56" s="146"/>
      <c r="C56" s="146"/>
      <c r="D56" s="146"/>
      <c r="E56" s="146"/>
      <c r="F56" s="146"/>
      <c r="G56" s="146"/>
      <c r="H56" s="146"/>
      <c r="I56" s="146"/>
      <c r="J56" s="146"/>
      <c r="K56" s="12"/>
      <c r="L56" s="397" t="s">
        <v>232</v>
      </c>
      <c r="M56" s="639"/>
      <c r="N56" s="639"/>
    </row>
    <row r="57" spans="1:14">
      <c r="A57" s="146"/>
      <c r="B57" s="146"/>
      <c r="C57" s="146"/>
      <c r="D57" s="146"/>
      <c r="E57" s="146"/>
      <c r="F57" s="146"/>
      <c r="G57" s="146"/>
      <c r="H57" s="146"/>
      <c r="I57" s="146"/>
      <c r="J57" s="146"/>
      <c r="K57" s="12"/>
      <c r="L57" s="640" t="s">
        <v>10</v>
      </c>
      <c r="M57" s="294" t="s">
        <v>233</v>
      </c>
      <c r="N57" s="642" t="s">
        <v>234</v>
      </c>
    </row>
    <row r="58" spans="1:14">
      <c r="A58" s="146"/>
      <c r="B58" s="146"/>
      <c r="C58" s="146"/>
      <c r="D58" s="146"/>
      <c r="E58" s="146"/>
      <c r="F58" s="146"/>
      <c r="G58" s="146"/>
      <c r="H58" s="146"/>
      <c r="I58" s="146"/>
      <c r="J58" s="146"/>
      <c r="K58" s="12"/>
      <c r="L58" s="640" t="s">
        <v>235</v>
      </c>
      <c r="M58" s="295" t="s">
        <v>236</v>
      </c>
      <c r="N58" s="181" t="s">
        <v>237</v>
      </c>
    </row>
    <row r="59" spans="1:14">
      <c r="A59" s="146"/>
      <c r="B59" s="146"/>
      <c r="C59" s="146"/>
      <c r="D59" s="146"/>
      <c r="E59" s="146"/>
      <c r="F59" s="146"/>
      <c r="G59" s="146"/>
      <c r="H59" s="146"/>
      <c r="I59" s="146"/>
      <c r="J59" s="146"/>
      <c r="K59" s="12"/>
      <c r="L59" s="640" t="s">
        <v>238</v>
      </c>
      <c r="M59" s="113"/>
      <c r="N59" s="113"/>
    </row>
    <row r="60" spans="1:14">
      <c r="A60" s="146"/>
      <c r="B60" s="146"/>
      <c r="C60" s="146"/>
      <c r="D60" s="146"/>
      <c r="E60" s="146"/>
      <c r="F60" s="146"/>
      <c r="G60" s="146"/>
      <c r="H60" s="146"/>
      <c r="I60" s="146"/>
      <c r="J60" s="146"/>
      <c r="K60" s="12"/>
      <c r="L60" s="406" t="s">
        <v>239</v>
      </c>
      <c r="M60" s="181"/>
      <c r="N60" s="181"/>
    </row>
    <row r="61" spans="1:14">
      <c r="A61" s="146"/>
      <c r="B61" s="146"/>
      <c r="C61" s="146"/>
      <c r="D61" s="146"/>
      <c r="E61" s="146"/>
      <c r="F61" s="146"/>
      <c r="G61" s="146"/>
      <c r="H61" s="146"/>
      <c r="I61" s="146"/>
      <c r="J61" s="146"/>
      <c r="K61" s="146"/>
      <c r="L61" s="146"/>
      <c r="M61" s="146"/>
      <c r="N61" s="12"/>
    </row>
    <row r="62" spans="1:14">
      <c r="A62" s="146"/>
      <c r="B62" s="146"/>
      <c r="C62" s="146"/>
      <c r="D62" s="146"/>
      <c r="E62" s="146"/>
      <c r="F62" s="146"/>
      <c r="G62" s="146"/>
      <c r="H62" s="146"/>
      <c r="I62" s="146"/>
      <c r="J62" s="146"/>
      <c r="K62" s="146"/>
      <c r="L62" s="146"/>
      <c r="M62" s="146"/>
      <c r="N62" s="12"/>
    </row>
    <row r="63" spans="1:14">
      <c r="A63" s="146"/>
      <c r="B63" s="146"/>
      <c r="C63" s="146"/>
      <c r="D63" s="146"/>
      <c r="E63" s="146"/>
      <c r="F63" s="146"/>
      <c r="G63" s="146"/>
      <c r="H63" s="146"/>
      <c r="I63" s="146"/>
      <c r="J63" s="146"/>
      <c r="K63" s="146"/>
      <c r="L63" s="146"/>
      <c r="M63" s="146"/>
      <c r="N63" s="12"/>
    </row>
    <row r="64" spans="1:14">
      <c r="A64" s="146"/>
      <c r="B64" s="146"/>
      <c r="C64" s="146"/>
      <c r="D64" s="146"/>
      <c r="E64" s="146"/>
      <c r="F64" s="146"/>
      <c r="G64" s="146"/>
      <c r="H64" s="146"/>
      <c r="I64" s="146"/>
      <c r="J64" s="146"/>
      <c r="K64" s="146"/>
      <c r="L64" s="146"/>
      <c r="M64" s="146"/>
      <c r="N64" s="12"/>
    </row>
    <row r="65" spans="1:13">
      <c r="A65" s="146"/>
      <c r="B65" s="146"/>
      <c r="C65" s="146"/>
      <c r="D65" s="146"/>
      <c r="E65" s="146"/>
      <c r="F65" s="146"/>
      <c r="G65" s="146"/>
      <c r="H65" s="146"/>
      <c r="I65" s="146"/>
      <c r="J65" s="146"/>
      <c r="K65" s="146"/>
      <c r="L65" s="146"/>
      <c r="M65" s="146"/>
    </row>
    <row r="66" spans="1:13">
      <c r="A66" s="146"/>
      <c r="B66" s="146"/>
      <c r="C66" s="146"/>
      <c r="D66" s="146"/>
      <c r="E66" s="146"/>
      <c r="F66" s="146"/>
      <c r="G66" s="146"/>
      <c r="H66" s="146"/>
      <c r="I66" s="146"/>
      <c r="J66" s="146"/>
      <c r="K66" s="146"/>
      <c r="L66" s="146"/>
      <c r="M66" s="146"/>
    </row>
    <row r="67" spans="1:13">
      <c r="A67" s="146"/>
      <c r="B67" s="146"/>
      <c r="C67" s="146"/>
      <c r="D67" s="146"/>
      <c r="E67" s="146"/>
      <c r="F67" s="146"/>
      <c r="G67" s="146"/>
      <c r="H67" s="146"/>
      <c r="I67" s="146"/>
      <c r="J67" s="146"/>
      <c r="K67" s="146"/>
      <c r="L67" s="146"/>
      <c r="M67" s="146"/>
    </row>
    <row r="68" spans="1:13">
      <c r="A68" s="146"/>
      <c r="B68" s="146"/>
      <c r="C68" s="146"/>
      <c r="D68" s="146"/>
      <c r="E68" s="146"/>
      <c r="F68" s="146"/>
      <c r="G68" s="146"/>
      <c r="H68" s="146"/>
      <c r="I68" s="146"/>
      <c r="J68" s="146"/>
      <c r="K68" s="146"/>
      <c r="L68" s="146"/>
      <c r="M68" s="146"/>
    </row>
    <row r="69" spans="1:13">
      <c r="A69" s="146"/>
      <c r="B69" s="146"/>
      <c r="C69" s="146"/>
      <c r="D69" s="146"/>
      <c r="E69" s="146"/>
      <c r="F69" s="146"/>
      <c r="G69" s="146"/>
      <c r="H69" s="146"/>
      <c r="I69" s="146"/>
      <c r="J69" s="146"/>
      <c r="K69" s="146"/>
      <c r="L69" s="146"/>
      <c r="M69" s="146"/>
    </row>
    <row r="70" spans="1:13">
      <c r="A70" s="146"/>
      <c r="B70" s="146"/>
      <c r="C70" s="146"/>
      <c r="D70" s="146"/>
      <c r="E70" s="146"/>
      <c r="F70" s="146"/>
      <c r="G70" s="146"/>
      <c r="H70" s="146"/>
      <c r="I70" s="146"/>
      <c r="J70" s="146"/>
      <c r="K70" s="146"/>
      <c r="L70" s="146"/>
      <c r="M70" s="146"/>
    </row>
    <row r="71" spans="1:13">
      <c r="A71" s="146"/>
      <c r="B71" s="146"/>
      <c r="C71" s="146"/>
      <c r="D71" s="146"/>
      <c r="E71" s="146"/>
      <c r="F71" s="146"/>
      <c r="G71" s="146"/>
      <c r="H71" s="146"/>
      <c r="I71" s="146"/>
      <c r="J71" s="146"/>
      <c r="K71" s="146"/>
      <c r="L71" s="146"/>
      <c r="M71" s="146"/>
    </row>
    <row r="72" spans="1:13">
      <c r="A72" s="146"/>
      <c r="B72" s="146"/>
      <c r="C72" s="146"/>
      <c r="D72" s="146"/>
      <c r="E72" s="146"/>
      <c r="F72" s="146"/>
      <c r="G72" s="146"/>
      <c r="H72" s="146"/>
      <c r="I72" s="146"/>
      <c r="J72" s="146"/>
      <c r="K72" s="146"/>
      <c r="L72" s="146"/>
      <c r="M72" s="146"/>
    </row>
    <row r="73" spans="1:13">
      <c r="A73" s="146"/>
      <c r="B73" s="146"/>
      <c r="C73" s="146"/>
      <c r="D73" s="146"/>
      <c r="E73" s="146"/>
      <c r="F73" s="146"/>
      <c r="G73" s="146"/>
      <c r="H73" s="146"/>
      <c r="I73" s="146"/>
      <c r="J73" s="146"/>
      <c r="K73" s="146"/>
      <c r="L73" s="146"/>
      <c r="M73" s="146"/>
    </row>
    <row r="74" spans="1:13">
      <c r="A74" s="146"/>
      <c r="B74" s="146"/>
      <c r="C74" s="146"/>
      <c r="D74" s="146"/>
      <c r="E74" s="146"/>
      <c r="F74" s="146"/>
      <c r="G74" s="146"/>
      <c r="H74" s="146"/>
      <c r="I74" s="146"/>
      <c r="J74" s="146"/>
      <c r="K74" s="146"/>
      <c r="L74" s="146"/>
      <c r="M74" s="146"/>
    </row>
    <row r="75" spans="1:13">
      <c r="A75" s="146"/>
      <c r="B75" s="146"/>
      <c r="C75" s="146"/>
      <c r="D75" s="146"/>
      <c r="E75" s="146"/>
      <c r="F75" s="146"/>
      <c r="G75" s="146"/>
      <c r="H75" s="146"/>
      <c r="I75" s="146"/>
      <c r="J75" s="146"/>
      <c r="K75" s="146"/>
      <c r="L75" s="146"/>
      <c r="M75" s="146"/>
    </row>
    <row r="76" spans="1:13" ht="22.5">
      <c r="A76" s="22" t="s">
        <v>241</v>
      </c>
      <c r="B76" s="22"/>
      <c r="C76" s="146"/>
      <c r="D76" s="206"/>
      <c r="E76" s="206"/>
      <c r="F76" s="146"/>
      <c r="G76" s="146"/>
      <c r="H76" s="206"/>
      <c r="I76" s="206"/>
      <c r="J76" s="146"/>
      <c r="K76" s="146"/>
      <c r="L76" s="146"/>
      <c r="M76" s="146"/>
    </row>
    <row r="77" spans="1:13" s="12" customFormat="1" ht="25.5" customHeight="1">
      <c r="A77" s="146"/>
      <c r="B77" s="781" t="s">
        <v>242</v>
      </c>
      <c r="C77" s="781"/>
      <c r="D77" s="781"/>
      <c r="E77" s="781"/>
      <c r="F77" s="781"/>
      <c r="G77" s="781"/>
      <c r="H77" s="781"/>
      <c r="I77" s="781"/>
      <c r="J77" s="146"/>
      <c r="K77" s="146"/>
      <c r="L77" s="146"/>
      <c r="M77" s="146"/>
    </row>
    <row r="78" spans="1:13" s="12" customFormat="1">
      <c r="A78" s="146"/>
      <c r="B78" s="146"/>
      <c r="C78" s="146"/>
      <c r="D78" s="206"/>
      <c r="E78" s="206"/>
      <c r="F78" s="782" t="s">
        <v>243</v>
      </c>
      <c r="G78" s="783"/>
      <c r="H78" s="206"/>
      <c r="I78" s="206"/>
      <c r="J78" s="146"/>
      <c r="K78" s="146"/>
      <c r="L78" s="146"/>
      <c r="M78" s="146"/>
    </row>
    <row r="79" spans="1:13" ht="26.25">
      <c r="A79" s="146"/>
      <c r="B79" s="146"/>
      <c r="C79" s="207"/>
      <c r="D79" s="680" t="s">
        <v>244</v>
      </c>
      <c r="E79" s="671" t="s">
        <v>245</v>
      </c>
      <c r="F79" s="692" t="str">
        <f>$D$6</f>
        <v>One-Time</v>
      </c>
      <c r="G79" s="671" t="str">
        <f>$E$6</f>
        <v>Annual Recurring</v>
      </c>
      <c r="H79" s="680" t="str">
        <f>$F$6</f>
        <v>Project Total</v>
      </c>
      <c r="I79" s="671" t="s">
        <v>246</v>
      </c>
      <c r="J79" s="146"/>
      <c r="K79" s="146"/>
      <c r="L79" s="146"/>
      <c r="M79" s="146"/>
    </row>
    <row r="80" spans="1:13" s="12" customFormat="1" ht="15.75" thickBot="1">
      <c r="A80" s="146"/>
      <c r="B80" s="8" t="s">
        <v>247</v>
      </c>
      <c r="C80" s="207"/>
      <c r="D80" s="207"/>
      <c r="E80" s="207"/>
      <c r="F80" s="207"/>
      <c r="G80" s="207"/>
      <c r="H80" s="207"/>
      <c r="I80" s="207"/>
      <c r="J80" s="146"/>
      <c r="K80" s="146"/>
      <c r="L80" s="146"/>
      <c r="M80" s="146"/>
    </row>
    <row r="81" spans="1:13" s="12" customFormat="1">
      <c r="A81" s="146"/>
      <c r="B81" s="146"/>
      <c r="C81" s="446" t="s">
        <v>248</v>
      </c>
      <c r="D81" s="447" t="s">
        <v>248</v>
      </c>
      <c r="E81" s="448">
        <f>PCUsers*0.3*Test!$E$11</f>
        <v>0</v>
      </c>
      <c r="F81" s="542">
        <f>ExchangeRate*1000</f>
        <v>1000</v>
      </c>
      <c r="G81" s="543">
        <f>F81*0.15</f>
        <v>150</v>
      </c>
      <c r="H81" s="544">
        <f>E81*(F81+ProjectTtlMultCosts*G81)</f>
        <v>0</v>
      </c>
      <c r="I81" s="684"/>
      <c r="J81" s="146"/>
      <c r="K81" s="208" t="s">
        <v>248</v>
      </c>
      <c r="L81" s="208"/>
      <c r="M81" s="146"/>
    </row>
    <row r="82" spans="1:13" s="12" customFormat="1">
      <c r="A82" s="146"/>
      <c r="B82" s="146"/>
      <c r="C82" s="449" t="s">
        <v>249</v>
      </c>
      <c r="D82" s="450" t="s">
        <v>248</v>
      </c>
      <c r="E82" s="451">
        <f>PCUsers*0.3*Test!$E$11</f>
        <v>0</v>
      </c>
      <c r="F82" s="545">
        <f>ExchangeRate*200</f>
        <v>200</v>
      </c>
      <c r="G82" s="546">
        <f>F82*0.15</f>
        <v>30</v>
      </c>
      <c r="H82" s="544">
        <f>E82*(F82+ProjectTtlMultCosts*G82)</f>
        <v>0</v>
      </c>
      <c r="I82" s="685"/>
      <c r="J82" s="146"/>
      <c r="K82" s="208" t="s">
        <v>249</v>
      </c>
      <c r="L82" s="208"/>
      <c r="M82" s="146"/>
    </row>
    <row r="83" spans="1:13" s="12" customFormat="1">
      <c r="A83" s="146"/>
      <c r="B83" s="146"/>
      <c r="C83" s="449" t="s">
        <v>250</v>
      </c>
      <c r="D83" s="450"/>
      <c r="E83" s="451">
        <f>PCUsers*0.3*Test!$E$11</f>
        <v>0</v>
      </c>
      <c r="F83" s="545">
        <f>ExchangeRate*50</f>
        <v>50</v>
      </c>
      <c r="G83" s="546">
        <f>F83*0.15</f>
        <v>7.5</v>
      </c>
      <c r="H83" s="544">
        <f>E83*(F83+ProjectTtlMultCosts*G83)</f>
        <v>0</v>
      </c>
      <c r="I83" s="452"/>
      <c r="J83" s="146"/>
      <c r="K83" s="208" t="s">
        <v>250</v>
      </c>
      <c r="L83" s="208"/>
      <c r="M83" s="146"/>
    </row>
    <row r="84" spans="1:13" s="12" customFormat="1">
      <c r="A84" s="146"/>
      <c r="B84" s="146"/>
      <c r="C84" s="449" t="s">
        <v>251</v>
      </c>
      <c r="D84" s="450"/>
      <c r="E84" s="451">
        <v>0</v>
      </c>
      <c r="F84" s="545">
        <f>ExchangeRate*200</f>
        <v>200</v>
      </c>
      <c r="G84" s="546">
        <f>F84*0.15</f>
        <v>30</v>
      </c>
      <c r="H84" s="544">
        <f>E84*(F84+ProjectTtlMultCosts*G84)</f>
        <v>0</v>
      </c>
      <c r="I84" s="684"/>
      <c r="J84" s="146"/>
      <c r="K84" s="208" t="s">
        <v>251</v>
      </c>
      <c r="L84" s="208"/>
      <c r="M84" s="146"/>
    </row>
    <row r="85" spans="1:13" s="12" customFormat="1" ht="15" thickBot="1">
      <c r="A85" s="146"/>
      <c r="B85" s="146"/>
      <c r="C85" s="453" t="s">
        <v>252</v>
      </c>
      <c r="D85" s="454"/>
      <c r="E85" s="455">
        <v>0</v>
      </c>
      <c r="F85" s="547">
        <f>ExchangeRate*200</f>
        <v>200</v>
      </c>
      <c r="G85" s="548">
        <f>F85*0.15</f>
        <v>30</v>
      </c>
      <c r="H85" s="544">
        <f>E85*(F85+ProjectTtlMultCosts*G85)</f>
        <v>0</v>
      </c>
      <c r="I85" s="685"/>
      <c r="J85" s="146"/>
      <c r="K85" s="208" t="s">
        <v>252</v>
      </c>
      <c r="L85" s="208"/>
      <c r="M85" s="146"/>
    </row>
    <row r="86" spans="1:13" s="12" customFormat="1" ht="15" thickTop="1">
      <c r="A86" s="146"/>
      <c r="B86" s="146"/>
      <c r="C86" s="135" t="s">
        <v>253</v>
      </c>
      <c r="D86" s="206"/>
      <c r="E86" s="206"/>
      <c r="F86" s="537">
        <f>SUMPRODUCT(F81:F85,E81:E85)</f>
        <v>0</v>
      </c>
      <c r="G86" s="537">
        <f>SUMPRODUCT(G81:G85,E81:E85)</f>
        <v>0</v>
      </c>
      <c r="H86" s="698">
        <f>SUM(H81:H85)</f>
        <v>0</v>
      </c>
      <c r="I86" s="206"/>
      <c r="J86" s="146"/>
      <c r="K86" s="208"/>
      <c r="L86" s="208"/>
      <c r="M86" s="146"/>
    </row>
    <row r="87" spans="1:13" s="12" customFormat="1" ht="15.75" thickBot="1">
      <c r="A87" s="146"/>
      <c r="B87" s="8" t="s">
        <v>254</v>
      </c>
      <c r="C87" s="207"/>
      <c r="D87" s="207"/>
      <c r="E87" s="207"/>
      <c r="F87" s="207"/>
      <c r="G87" s="207"/>
      <c r="H87" s="207"/>
      <c r="I87" s="207"/>
      <c r="J87" s="146"/>
      <c r="K87" s="208"/>
      <c r="L87" s="208"/>
      <c r="M87" s="146"/>
    </row>
    <row r="88" spans="1:13" s="12" customFormat="1">
      <c r="A88" s="146"/>
      <c r="B88" s="146"/>
      <c r="C88" s="446" t="s">
        <v>255</v>
      </c>
      <c r="D88" s="447" t="s">
        <v>255</v>
      </c>
      <c r="E88" s="456">
        <f>PCUsers/300*Test!$E$12</f>
        <v>2.2934940847269005</v>
      </c>
      <c r="F88" s="542">
        <f>ExchangeRate*15000</f>
        <v>15000</v>
      </c>
      <c r="G88" s="543">
        <f>F88*0.15</f>
        <v>2250</v>
      </c>
      <c r="H88" s="544">
        <f>E88*(F88+ProjectTtlMultCosts*G88)</f>
        <v>60204.219724081129</v>
      </c>
      <c r="I88" s="684"/>
      <c r="J88" s="146"/>
      <c r="K88" s="208" t="s">
        <v>255</v>
      </c>
      <c r="L88" s="208"/>
      <c r="M88" s="146"/>
    </row>
    <row r="89" spans="1:13" s="12" customFormat="1" ht="25.5">
      <c r="A89" s="146"/>
      <c r="B89" s="146"/>
      <c r="C89" s="449" t="s">
        <v>256</v>
      </c>
      <c r="D89" s="450" t="s">
        <v>257</v>
      </c>
      <c r="E89" s="457">
        <f>PCUsers*1/1000*Test!$E$12</f>
        <v>0.6880482254180702</v>
      </c>
      <c r="F89" s="545">
        <f>ExchangeRate*10000</f>
        <v>10000</v>
      </c>
      <c r="G89" s="546">
        <f>F89*0.15</f>
        <v>1500</v>
      </c>
      <c r="H89" s="544">
        <f>E89*(F89+ProjectTtlMultCosts*G89)</f>
        <v>12040.843944816226</v>
      </c>
      <c r="I89" s="684"/>
      <c r="J89" s="146"/>
      <c r="K89" s="208" t="s">
        <v>256</v>
      </c>
      <c r="L89" s="208" t="s">
        <v>257</v>
      </c>
      <c r="M89" s="146"/>
    </row>
    <row r="90" spans="1:13" s="12" customFormat="1">
      <c r="A90" s="146"/>
      <c r="B90" s="146"/>
      <c r="C90" s="449" t="s">
        <v>258</v>
      </c>
      <c r="D90" s="450"/>
      <c r="E90" s="451">
        <v>0</v>
      </c>
      <c r="F90" s="545">
        <f>ExchangeRate*0</f>
        <v>0</v>
      </c>
      <c r="G90" s="546">
        <f>F90*0.15</f>
        <v>0</v>
      </c>
      <c r="H90" s="544">
        <f>E90*(F90+ProjectTtlMultCosts*G90)</f>
        <v>0</v>
      </c>
      <c r="I90" s="684"/>
      <c r="J90" s="146"/>
      <c r="K90" s="208" t="s">
        <v>258</v>
      </c>
      <c r="L90" s="208"/>
      <c r="M90" s="146"/>
    </row>
    <row r="91" spans="1:13" ht="15" thickBot="1">
      <c r="A91" s="146"/>
      <c r="B91" s="146"/>
      <c r="C91" s="453" t="s">
        <v>252</v>
      </c>
      <c r="D91" s="454"/>
      <c r="E91" s="455">
        <v>0</v>
      </c>
      <c r="F91" s="547">
        <f>ExchangeRate*0</f>
        <v>0</v>
      </c>
      <c r="G91" s="548">
        <f>F91*0.15</f>
        <v>0</v>
      </c>
      <c r="H91" s="544">
        <f>E91*(F91+ProjectTtlMultCosts*G91)</f>
        <v>0</v>
      </c>
      <c r="I91" s="685"/>
      <c r="J91" s="146"/>
      <c r="K91" s="208" t="s">
        <v>252</v>
      </c>
      <c r="L91" s="208"/>
      <c r="M91" s="146"/>
    </row>
    <row r="92" spans="1:13" ht="15.75" thickTop="1" thickBot="1">
      <c r="A92" s="146"/>
      <c r="B92" s="146"/>
      <c r="C92" s="198" t="str">
        <f>$C$86</f>
        <v>Sub Total</v>
      </c>
      <c r="D92" s="206"/>
      <c r="E92" s="206"/>
      <c r="F92" s="537">
        <f>SUMPRODUCT(F88:F91,E88:E91)</f>
        <v>41282.893525084211</v>
      </c>
      <c r="G92" s="537">
        <f>SUMPRODUCT(G88:G91,E88:E91)</f>
        <v>6192.4340287626319</v>
      </c>
      <c r="H92" s="698">
        <f>SUM(H88:H91)</f>
        <v>72245.063668897361</v>
      </c>
      <c r="I92" s="206"/>
      <c r="J92" s="146"/>
      <c r="K92" s="208"/>
      <c r="L92" s="208"/>
      <c r="M92" s="146"/>
    </row>
    <row r="93" spans="1:13" s="12" customFormat="1" ht="15" thickTop="1">
      <c r="A93" s="146"/>
      <c r="B93" s="146"/>
      <c r="C93" s="296" t="s">
        <v>259</v>
      </c>
      <c r="D93" s="206"/>
      <c r="E93" s="206"/>
      <c r="F93" s="698">
        <f>F92+F86</f>
        <v>41282.893525084211</v>
      </c>
      <c r="G93" s="698">
        <f>G92+G86</f>
        <v>6192.4340287626319</v>
      </c>
      <c r="H93" s="698">
        <f>H92+H86</f>
        <v>72245.063668897361</v>
      </c>
      <c r="I93" s="206"/>
      <c r="J93" s="146"/>
      <c r="K93" s="208"/>
      <c r="L93" s="208"/>
      <c r="M93" s="146"/>
    </row>
    <row r="94" spans="1:13" s="2" customFormat="1">
      <c r="A94" s="146"/>
      <c r="B94" s="146"/>
      <c r="C94" s="211" t="s">
        <v>260</v>
      </c>
      <c r="D94" s="206"/>
      <c r="E94" s="206"/>
      <c r="F94" s="206"/>
      <c r="G94" s="206"/>
      <c r="H94" s="206"/>
      <c r="I94" s="206"/>
      <c r="J94" s="146"/>
      <c r="K94" s="208"/>
      <c r="L94" s="208"/>
      <c r="M94" s="146"/>
    </row>
    <row r="95" spans="1:13" ht="22.5">
      <c r="A95" s="22" t="s">
        <v>261</v>
      </c>
      <c r="B95" s="22"/>
      <c r="C95" s="146"/>
      <c r="D95" s="206"/>
      <c r="E95" s="206"/>
      <c r="F95" s="206"/>
      <c r="G95" s="206"/>
      <c r="H95" s="206"/>
      <c r="I95" s="206"/>
      <c r="J95" s="146"/>
      <c r="K95" s="208"/>
      <c r="L95" s="208"/>
      <c r="M95" s="146"/>
    </row>
    <row r="96" spans="1:13" s="12" customFormat="1" ht="22.5">
      <c r="A96" s="22"/>
      <c r="B96" s="22"/>
      <c r="C96" s="148" t="s">
        <v>262</v>
      </c>
      <c r="D96" s="206"/>
      <c r="E96" s="206"/>
      <c r="F96" s="206"/>
      <c r="G96" s="206"/>
      <c r="H96" s="206"/>
      <c r="I96" s="206"/>
      <c r="J96" s="146"/>
      <c r="K96" s="208"/>
      <c r="L96" s="208"/>
      <c r="M96" s="146"/>
    </row>
    <row r="97" spans="1:13" s="12" customFormat="1" ht="51">
      <c r="A97" s="14"/>
      <c r="B97" s="14"/>
      <c r="C97" s="146"/>
      <c r="D97" s="146"/>
      <c r="E97" s="680" t="s">
        <v>263</v>
      </c>
      <c r="F97" s="680" t="s">
        <v>264</v>
      </c>
      <c r="G97" s="671" t="s">
        <v>265</v>
      </c>
      <c r="H97" s="690" t="str">
        <f>$F$6</f>
        <v>Project Total</v>
      </c>
      <c r="I97" s="671" t="str">
        <f>$I$79</f>
        <v>Comments</v>
      </c>
      <c r="J97" s="146"/>
      <c r="K97" s="208"/>
      <c r="L97" s="208"/>
      <c r="M97" s="146"/>
    </row>
    <row r="98" spans="1:13" s="12" customFormat="1" ht="15.75" thickBot="1">
      <c r="A98" s="146"/>
      <c r="B98" s="8" t="s">
        <v>266</v>
      </c>
      <c r="C98" s="207"/>
      <c r="D98" s="207"/>
      <c r="E98" s="207"/>
      <c r="F98" s="207"/>
      <c r="G98" s="207"/>
      <c r="H98" s="207"/>
      <c r="I98" s="207"/>
      <c r="J98" s="146"/>
      <c r="K98" s="208"/>
      <c r="L98" s="208"/>
      <c r="M98" s="146"/>
    </row>
    <row r="99" spans="1:13">
      <c r="A99" s="146"/>
      <c r="B99" s="146"/>
      <c r="C99" s="458" t="s">
        <v>267</v>
      </c>
      <c r="D99" s="146"/>
      <c r="E99" s="459">
        <f>PCUsers*Test!$E$15*1</f>
        <v>68.804822541807013</v>
      </c>
      <c r="F99" s="542">
        <f>ExchangeRate*400</f>
        <v>400</v>
      </c>
      <c r="G99" s="543">
        <f>F99*0.23</f>
        <v>92</v>
      </c>
      <c r="H99" s="544">
        <f>E99*(F99+ProjectTtlMultCosts*G99)</f>
        <v>59172.147385954013</v>
      </c>
      <c r="I99" s="684"/>
      <c r="J99" s="146"/>
      <c r="K99" s="208" t="s">
        <v>267</v>
      </c>
      <c r="L99" s="208"/>
      <c r="M99" s="146"/>
    </row>
    <row r="100" spans="1:13" s="12" customFormat="1">
      <c r="A100" s="146"/>
      <c r="B100" s="146"/>
      <c r="C100" s="460" t="s">
        <v>268</v>
      </c>
      <c r="D100" s="146"/>
      <c r="E100" s="677">
        <v>0</v>
      </c>
      <c r="F100" s="545">
        <f>ExchangeRate*100</f>
        <v>100</v>
      </c>
      <c r="G100" s="546">
        <f>F100*0.23</f>
        <v>23</v>
      </c>
      <c r="H100" s="544">
        <f>E100*(F100+ProjectTtlMultCosts*G100)</f>
        <v>0</v>
      </c>
      <c r="I100" s="684"/>
      <c r="J100" s="146"/>
      <c r="K100" s="208" t="s">
        <v>268</v>
      </c>
      <c r="L100" s="208"/>
      <c r="M100" s="146"/>
    </row>
    <row r="101" spans="1:13" s="12" customFormat="1">
      <c r="A101" s="146"/>
      <c r="B101" s="146"/>
      <c r="C101" s="460" t="s">
        <v>269</v>
      </c>
      <c r="D101" s="146"/>
      <c r="E101" s="677">
        <f>E81</f>
        <v>0</v>
      </c>
      <c r="F101" s="545">
        <f>ExchangeRate*100</f>
        <v>100</v>
      </c>
      <c r="G101" s="546">
        <f>F101*0.23</f>
        <v>23</v>
      </c>
      <c r="H101" s="544">
        <f>E101*(F101+ProjectTtlMultCosts*G101)</f>
        <v>0</v>
      </c>
      <c r="I101" s="684"/>
      <c r="J101" s="146"/>
      <c r="K101" s="208" t="s">
        <v>269</v>
      </c>
      <c r="L101" s="208"/>
      <c r="M101" s="146"/>
    </row>
    <row r="102" spans="1:13" s="12" customFormat="1">
      <c r="A102" s="146"/>
      <c r="B102" s="146"/>
      <c r="C102" s="460" t="s">
        <v>270</v>
      </c>
      <c r="D102" s="146"/>
      <c r="E102" s="677">
        <f>E99</f>
        <v>68.804822541807013</v>
      </c>
      <c r="F102" s="545">
        <f>ExchangeRate*10</f>
        <v>10</v>
      </c>
      <c r="G102" s="546">
        <f>F102*0.23</f>
        <v>2.3000000000000003</v>
      </c>
      <c r="H102" s="544">
        <f>E102*(F102+ProjectTtlMultCosts*G102)</f>
        <v>1479.3036846488505</v>
      </c>
      <c r="I102" s="684"/>
      <c r="J102" s="146"/>
      <c r="K102" s="208" t="s">
        <v>270</v>
      </c>
      <c r="L102" s="208"/>
      <c r="M102" s="146"/>
    </row>
    <row r="103" spans="1:13" s="12" customFormat="1" ht="15" thickBot="1">
      <c r="A103" s="146"/>
      <c r="B103" s="146"/>
      <c r="C103" s="461" t="s">
        <v>252</v>
      </c>
      <c r="D103" s="146"/>
      <c r="E103" s="669"/>
      <c r="F103" s="547">
        <f>ExchangeRate*0</f>
        <v>0</v>
      </c>
      <c r="G103" s="548"/>
      <c r="H103" s="544">
        <f>E103*(F103+ProjectTtlMultCosts*G103)</f>
        <v>0</v>
      </c>
      <c r="I103" s="685"/>
      <c r="J103" s="146"/>
      <c r="K103" s="208" t="s">
        <v>252</v>
      </c>
      <c r="L103" s="208"/>
      <c r="M103" s="146"/>
    </row>
    <row r="104" spans="1:13" s="12" customFormat="1" ht="15" thickTop="1">
      <c r="A104" s="146"/>
      <c r="B104" s="146"/>
      <c r="C104" s="135" t="str">
        <f>$C$86</f>
        <v>Sub Total</v>
      </c>
      <c r="D104" s="206"/>
      <c r="E104" s="206"/>
      <c r="F104" s="537">
        <f>SUMPRODUCT(F99:F103,E99:E103)</f>
        <v>28209.977242140878</v>
      </c>
      <c r="G104" s="537">
        <f>SUMPRODUCT(G99:G103,E99:E103)</f>
        <v>6488.2947656924007</v>
      </c>
      <c r="H104" s="698">
        <f>SUM(H99:H103)</f>
        <v>60651.451070602867</v>
      </c>
      <c r="I104" s="206"/>
      <c r="J104" s="146"/>
      <c r="K104" s="208"/>
      <c r="L104" s="208"/>
      <c r="M104" s="146"/>
    </row>
    <row r="105" spans="1:13" s="12" customFormat="1" ht="15.75" thickBot="1">
      <c r="A105" s="146"/>
      <c r="B105" s="8" t="s">
        <v>271</v>
      </c>
      <c r="C105" s="207"/>
      <c r="D105" s="207"/>
      <c r="E105" s="207"/>
      <c r="F105" s="207"/>
      <c r="G105" s="207"/>
      <c r="H105" s="207"/>
      <c r="I105" s="207"/>
      <c r="J105" s="146"/>
      <c r="K105" s="208"/>
      <c r="L105" s="208"/>
      <c r="M105" s="146"/>
    </row>
    <row r="106" spans="1:13" s="12" customFormat="1">
      <c r="A106" s="146"/>
      <c r="B106" s="146"/>
      <c r="C106" s="458" t="s">
        <v>272</v>
      </c>
      <c r="D106" s="146"/>
      <c r="E106" s="462">
        <f>PCUsers/300*Test!$E$16</f>
        <v>2.2934940847269005</v>
      </c>
      <c r="F106" s="542">
        <f>ExchangeRate*2000</f>
        <v>2000</v>
      </c>
      <c r="G106" s="543">
        <f>F106*0.23</f>
        <v>460</v>
      </c>
      <c r="H106" s="544">
        <f>E106*(F106+ProjectTtlMultCosts*G106)</f>
        <v>9862.0245643256694</v>
      </c>
      <c r="I106" s="684"/>
      <c r="J106" s="146"/>
      <c r="K106" s="208" t="s">
        <v>272</v>
      </c>
      <c r="L106" s="208"/>
      <c r="M106" s="146"/>
    </row>
    <row r="107" spans="1:13" s="12" customFormat="1">
      <c r="A107" s="146"/>
      <c r="B107" s="146"/>
      <c r="C107" s="460" t="s">
        <v>273</v>
      </c>
      <c r="D107" s="146"/>
      <c r="E107" s="677">
        <f>E106</f>
        <v>2.2934940847269005</v>
      </c>
      <c r="F107" s="545">
        <f>ExchangeRate*8000</f>
        <v>8000</v>
      </c>
      <c r="G107" s="546">
        <f>F107*0.23</f>
        <v>1840</v>
      </c>
      <c r="H107" s="544">
        <f>E107*(F107+ProjectTtlMultCosts*G107)</f>
        <v>39448.098257302678</v>
      </c>
      <c r="I107" s="684"/>
      <c r="J107" s="146"/>
      <c r="K107" s="208" t="s">
        <v>273</v>
      </c>
      <c r="L107" s="208"/>
      <c r="M107" s="146"/>
    </row>
    <row r="108" spans="1:13" s="12" customFormat="1">
      <c r="A108" s="146"/>
      <c r="B108" s="146"/>
      <c r="C108" s="460" t="s">
        <v>274</v>
      </c>
      <c r="D108" s="146"/>
      <c r="E108" s="677">
        <f>E106</f>
        <v>2.2934940847269005</v>
      </c>
      <c r="F108" s="545">
        <f>ExchangeRate*15000</f>
        <v>15000</v>
      </c>
      <c r="G108" s="546">
        <f>F108*0.23</f>
        <v>3450</v>
      </c>
      <c r="H108" s="544">
        <f>E108*(F108+ProjectTtlMultCosts*G108)</f>
        <v>73965.184232442523</v>
      </c>
      <c r="I108" s="684"/>
      <c r="J108" s="146"/>
      <c r="K108" s="208" t="s">
        <v>274</v>
      </c>
      <c r="L108" s="208"/>
      <c r="M108" s="146"/>
    </row>
    <row r="109" spans="1:13" s="12" customFormat="1">
      <c r="A109" s="146"/>
      <c r="B109" s="146"/>
      <c r="C109" s="460" t="s">
        <v>275</v>
      </c>
      <c r="D109" s="206"/>
      <c r="E109" s="677">
        <v>0</v>
      </c>
      <c r="F109" s="545">
        <f>ExchangeRate*0</f>
        <v>0</v>
      </c>
      <c r="G109" s="546">
        <f>F109*0.23</f>
        <v>0</v>
      </c>
      <c r="H109" s="544">
        <f>E109*(F109+ProjectTtlMultCosts*G109)</f>
        <v>0</v>
      </c>
      <c r="I109" s="684"/>
      <c r="J109" s="146"/>
      <c r="K109" s="208" t="s">
        <v>275</v>
      </c>
      <c r="L109" s="208"/>
      <c r="M109" s="146"/>
    </row>
    <row r="110" spans="1:13" s="12" customFormat="1" ht="15" thickBot="1">
      <c r="A110" s="146"/>
      <c r="B110" s="146"/>
      <c r="C110" s="461" t="s">
        <v>252</v>
      </c>
      <c r="D110" s="206"/>
      <c r="E110" s="669"/>
      <c r="F110" s="547">
        <f>ExchangeRate*0</f>
        <v>0</v>
      </c>
      <c r="G110" s="548"/>
      <c r="H110" s="544">
        <f>E110*(F110+ProjectTtlMultCosts*G110)</f>
        <v>0</v>
      </c>
      <c r="I110" s="685"/>
      <c r="J110" s="146"/>
      <c r="K110" s="208" t="s">
        <v>252</v>
      </c>
      <c r="L110" s="208"/>
      <c r="M110" s="146"/>
    </row>
    <row r="111" spans="1:13" s="12" customFormat="1" ht="15.75" thickTop="1" thickBot="1">
      <c r="A111" s="146"/>
      <c r="B111" s="146"/>
      <c r="C111" s="135" t="str">
        <f>$C$86</f>
        <v>Sub Total</v>
      </c>
      <c r="D111" s="206"/>
      <c r="E111" s="206"/>
      <c r="F111" s="537">
        <f>SUMPRODUCT(F106:F110,E106:E110)</f>
        <v>57337.352118172515</v>
      </c>
      <c r="G111" s="537">
        <f>SUMPRODUCT(G106:G110,E106:E110)</f>
        <v>13187.590987179679</v>
      </c>
      <c r="H111" s="698">
        <f>SUM(H106:H110)</f>
        <v>123275.30705407087</v>
      </c>
      <c r="I111" s="206"/>
      <c r="J111" s="146"/>
      <c r="K111" s="208"/>
      <c r="L111" s="208"/>
      <c r="M111" s="146"/>
    </row>
    <row r="112" spans="1:13" s="12" customFormat="1" ht="15" thickTop="1">
      <c r="A112" s="146"/>
      <c r="B112" s="146"/>
      <c r="C112" s="702" t="str">
        <f>$C$93</f>
        <v>Total</v>
      </c>
      <c r="D112" s="206"/>
      <c r="E112" s="206"/>
      <c r="F112" s="698">
        <f>SUM(F104,F111)</f>
        <v>85547.329360313393</v>
      </c>
      <c r="G112" s="698">
        <f>SUM(G104,G111)</f>
        <v>19675.88575287208</v>
      </c>
      <c r="H112" s="698">
        <f>SUM(H104,H111)</f>
        <v>183926.75812467374</v>
      </c>
      <c r="I112" s="206"/>
      <c r="J112" s="146"/>
      <c r="K112" s="208"/>
      <c r="L112" s="208"/>
      <c r="M112" s="146"/>
    </row>
    <row r="113" spans="1:13" s="2" customFormat="1">
      <c r="A113" s="146"/>
      <c r="B113" s="146"/>
      <c r="C113" s="148"/>
      <c r="D113" s="206"/>
      <c r="E113" s="206"/>
      <c r="F113" s="206"/>
      <c r="G113" s="206"/>
      <c r="H113" s="206"/>
      <c r="I113" s="206"/>
      <c r="J113" s="146"/>
      <c r="K113" s="208"/>
      <c r="L113" s="208"/>
      <c r="M113" s="146"/>
    </row>
    <row r="114" spans="1:13" ht="22.5">
      <c r="A114" s="22" t="s">
        <v>276</v>
      </c>
      <c r="B114" s="22"/>
      <c r="C114" s="146"/>
      <c r="D114" s="146"/>
      <c r="E114" s="146"/>
      <c r="F114" s="146"/>
      <c r="G114" s="146"/>
      <c r="H114" s="146"/>
      <c r="I114" s="146"/>
      <c r="J114" s="146"/>
      <c r="K114" s="208"/>
      <c r="L114" s="208"/>
      <c r="M114" s="146"/>
    </row>
    <row r="115" spans="1:13" s="12" customFormat="1">
      <c r="A115" s="146"/>
      <c r="B115" s="781" t="s">
        <v>277</v>
      </c>
      <c r="C115" s="781"/>
      <c r="D115" s="781"/>
      <c r="E115" s="781"/>
      <c r="F115" s="781"/>
      <c r="G115" s="781"/>
      <c r="H115" s="781"/>
      <c r="I115" s="781"/>
      <c r="J115" s="146"/>
      <c r="K115" s="208"/>
      <c r="L115" s="208"/>
      <c r="M115" s="146"/>
    </row>
    <row r="116" spans="1:13" s="12" customFormat="1" ht="22.5">
      <c r="A116" s="22"/>
      <c r="B116" s="14" t="s">
        <v>278</v>
      </c>
      <c r="C116" s="146"/>
      <c r="D116" s="146"/>
      <c r="E116" s="146"/>
      <c r="F116" s="146"/>
      <c r="G116" s="146"/>
      <c r="H116" s="146"/>
      <c r="I116" s="146"/>
      <c r="J116" s="146"/>
      <c r="K116" s="208"/>
      <c r="L116" s="208"/>
      <c r="M116" s="146"/>
    </row>
    <row r="117" spans="1:13" s="12" customFormat="1">
      <c r="A117" s="13"/>
      <c r="B117" s="13"/>
      <c r="C117" s="146"/>
      <c r="D117" s="146"/>
      <c r="E117" s="782" t="s">
        <v>279</v>
      </c>
      <c r="F117" s="783"/>
      <c r="G117" s="146"/>
      <c r="H117" s="146"/>
      <c r="I117" s="146"/>
      <c r="J117" s="146"/>
      <c r="K117" s="208"/>
      <c r="L117" s="208"/>
      <c r="M117" s="146"/>
    </row>
    <row r="118" spans="1:13" ht="26.25" thickBot="1">
      <c r="A118" s="146"/>
      <c r="B118" s="146"/>
      <c r="C118" s="146"/>
      <c r="D118" s="686" t="s">
        <v>280</v>
      </c>
      <c r="E118" s="701" t="str">
        <f>$D$6</f>
        <v>One-Time</v>
      </c>
      <c r="F118" s="691" t="str">
        <f>$E$6</f>
        <v>Annual Recurring</v>
      </c>
      <c r="G118" s="686" t="s">
        <v>281</v>
      </c>
      <c r="H118" s="690" t="str">
        <f>H79</f>
        <v>Project Total</v>
      </c>
      <c r="I118" s="686" t="str">
        <f>$I$79</f>
        <v>Comments</v>
      </c>
      <c r="J118" s="146"/>
      <c r="K118" s="208"/>
      <c r="L118" s="208"/>
      <c r="M118" s="146"/>
    </row>
    <row r="119" spans="1:13">
      <c r="A119" s="146"/>
      <c r="B119" s="146"/>
      <c r="C119" s="675" t="s">
        <v>282</v>
      </c>
      <c r="D119" s="447" t="s">
        <v>283</v>
      </c>
      <c r="E119" s="456">
        <f>Test!$E$19*PCUsers/2500*25</f>
        <v>2.0641446762542106</v>
      </c>
      <c r="F119" s="463"/>
      <c r="G119" s="543">
        <f t="shared" ref="G119:G127" si="2">StaffCostWeekIT</f>
        <v>2203.6227106447805</v>
      </c>
      <c r="H119" s="544">
        <f t="shared" ref="H119:H130" si="3">G119*(E119+ProjectTtlMultCosts*F119)</f>
        <v>4548.5960866502965</v>
      </c>
      <c r="I119" s="683"/>
      <c r="J119" s="146"/>
      <c r="K119" s="208" t="s">
        <v>282</v>
      </c>
      <c r="L119" s="208" t="s">
        <v>283</v>
      </c>
      <c r="M119" s="146"/>
    </row>
    <row r="120" spans="1:13">
      <c r="A120" s="146"/>
      <c r="B120" s="146"/>
      <c r="C120" s="464" t="s">
        <v>284</v>
      </c>
      <c r="D120" s="450" t="s">
        <v>283</v>
      </c>
      <c r="E120" s="457">
        <f>Test!$E$19*PCUsers/2500*15</f>
        <v>1.2384868057525265</v>
      </c>
      <c r="F120" s="465"/>
      <c r="G120" s="546">
        <f t="shared" si="2"/>
        <v>2203.6227106447805</v>
      </c>
      <c r="H120" s="544">
        <f t="shared" si="3"/>
        <v>2729.1576519901782</v>
      </c>
      <c r="I120" s="684"/>
      <c r="J120" s="146"/>
      <c r="K120" s="208" t="s">
        <v>284</v>
      </c>
      <c r="L120" s="208" t="s">
        <v>283</v>
      </c>
      <c r="M120" s="146"/>
    </row>
    <row r="121" spans="1:13" s="12" customFormat="1">
      <c r="A121" s="146"/>
      <c r="B121" s="146"/>
      <c r="C121" s="464" t="s">
        <v>285</v>
      </c>
      <c r="D121" s="450" t="s">
        <v>283</v>
      </c>
      <c r="E121" s="457">
        <f>Test!$E$19*PCUsers/2500*28</f>
        <v>2.3118420374047162</v>
      </c>
      <c r="F121" s="465"/>
      <c r="G121" s="546">
        <f t="shared" si="2"/>
        <v>2203.6227106447805</v>
      </c>
      <c r="H121" s="544">
        <f t="shared" si="3"/>
        <v>5094.4276170483326</v>
      </c>
      <c r="I121" s="684"/>
      <c r="J121" s="146"/>
      <c r="K121" s="208" t="s">
        <v>285</v>
      </c>
      <c r="L121" s="208" t="s">
        <v>283</v>
      </c>
      <c r="M121" s="146"/>
    </row>
    <row r="122" spans="1:13">
      <c r="A122" s="146"/>
      <c r="B122" s="146"/>
      <c r="C122" s="464" t="s">
        <v>286</v>
      </c>
      <c r="D122" s="450" t="s">
        <v>283</v>
      </c>
      <c r="E122" s="457">
        <f>Test!$E$19*PCUsers/2500*6</f>
        <v>0.49539472230101056</v>
      </c>
      <c r="F122" s="465"/>
      <c r="G122" s="546">
        <f t="shared" si="2"/>
        <v>2203.6227106447805</v>
      </c>
      <c r="H122" s="544">
        <f t="shared" si="3"/>
        <v>1091.6630607960712</v>
      </c>
      <c r="I122" s="684"/>
      <c r="J122" s="146"/>
      <c r="K122" s="208" t="s">
        <v>286</v>
      </c>
      <c r="L122" s="208" t="s">
        <v>283</v>
      </c>
      <c r="M122" s="146"/>
    </row>
    <row r="123" spans="1:13">
      <c r="A123" s="146"/>
      <c r="B123" s="146"/>
      <c r="C123" s="464" t="s">
        <v>287</v>
      </c>
      <c r="D123" s="450" t="s">
        <v>283</v>
      </c>
      <c r="E123" s="457">
        <f>Test!$E$19*PCUsers/2500*10</f>
        <v>0.82565787050168427</v>
      </c>
      <c r="F123" s="465"/>
      <c r="G123" s="546">
        <f t="shared" si="2"/>
        <v>2203.6227106447805</v>
      </c>
      <c r="H123" s="544">
        <f t="shared" si="3"/>
        <v>1819.4384346601187</v>
      </c>
      <c r="I123" s="684"/>
      <c r="J123" s="146"/>
      <c r="K123" s="208" t="s">
        <v>287</v>
      </c>
      <c r="L123" s="208" t="s">
        <v>283</v>
      </c>
      <c r="M123" s="146"/>
    </row>
    <row r="124" spans="1:13">
      <c r="A124" s="146"/>
      <c r="B124" s="146"/>
      <c r="C124" s="464" t="s">
        <v>288</v>
      </c>
      <c r="D124" s="450" t="s">
        <v>283</v>
      </c>
      <c r="E124" s="457">
        <f>Test!$E$19*PCUsers/2500*30</f>
        <v>2.4769736115050529</v>
      </c>
      <c r="F124" s="465"/>
      <c r="G124" s="546">
        <f t="shared" si="2"/>
        <v>2203.6227106447805</v>
      </c>
      <c r="H124" s="544">
        <f t="shared" si="3"/>
        <v>5458.3153039803565</v>
      </c>
      <c r="I124" s="684"/>
      <c r="J124" s="146"/>
      <c r="K124" s="208" t="s">
        <v>288</v>
      </c>
      <c r="L124" s="208" t="s">
        <v>283</v>
      </c>
      <c r="M124" s="146"/>
    </row>
    <row r="125" spans="1:13">
      <c r="A125" s="146"/>
      <c r="B125" s="146"/>
      <c r="C125" s="464" t="s">
        <v>289</v>
      </c>
      <c r="D125" s="450" t="s">
        <v>283</v>
      </c>
      <c r="E125" s="457">
        <f>Test!$E$19*PCUsers/2500*4</f>
        <v>0.33026314820067371</v>
      </c>
      <c r="F125" s="465"/>
      <c r="G125" s="546">
        <f t="shared" si="2"/>
        <v>2203.6227106447805</v>
      </c>
      <c r="H125" s="544">
        <f t="shared" si="3"/>
        <v>727.77537386404742</v>
      </c>
      <c r="I125" s="684"/>
      <c r="J125" s="146"/>
      <c r="K125" s="208" t="s">
        <v>289</v>
      </c>
      <c r="L125" s="208" t="s">
        <v>283</v>
      </c>
      <c r="M125" s="146"/>
    </row>
    <row r="126" spans="1:13">
      <c r="A126" s="146"/>
      <c r="B126" s="146"/>
      <c r="C126" s="464" t="s">
        <v>290</v>
      </c>
      <c r="D126" s="450" t="s">
        <v>283</v>
      </c>
      <c r="E126" s="457">
        <f>Test!$E$19*PCUsers/2500*4</f>
        <v>0.33026314820067371</v>
      </c>
      <c r="F126" s="465"/>
      <c r="G126" s="546">
        <f t="shared" si="2"/>
        <v>2203.6227106447805</v>
      </c>
      <c r="H126" s="544">
        <f t="shared" si="3"/>
        <v>727.77537386404742</v>
      </c>
      <c r="I126" s="684"/>
      <c r="J126" s="146"/>
      <c r="K126" s="208" t="s">
        <v>290</v>
      </c>
      <c r="L126" s="208" t="s">
        <v>283</v>
      </c>
      <c r="M126" s="146"/>
    </row>
    <row r="127" spans="1:13" s="12" customFormat="1">
      <c r="A127" s="146"/>
      <c r="B127" s="146"/>
      <c r="C127" s="464" t="s">
        <v>291</v>
      </c>
      <c r="D127" s="450" t="s">
        <v>283</v>
      </c>
      <c r="E127" s="457">
        <f>Test!$E$19*PCUsers/2500*4</f>
        <v>0.33026314820067371</v>
      </c>
      <c r="F127" s="465"/>
      <c r="G127" s="546">
        <f t="shared" si="2"/>
        <v>2203.6227106447805</v>
      </c>
      <c r="H127" s="544">
        <f t="shared" si="3"/>
        <v>727.77537386404742</v>
      </c>
      <c r="I127" s="684"/>
      <c r="J127" s="146"/>
      <c r="K127" s="208" t="s">
        <v>291</v>
      </c>
      <c r="L127" s="208" t="s">
        <v>283</v>
      </c>
      <c r="M127" s="146"/>
    </row>
    <row r="128" spans="1:13" s="12" customFormat="1">
      <c r="A128" s="146"/>
      <c r="B128" s="146"/>
      <c r="C128" s="464" t="s">
        <v>292</v>
      </c>
      <c r="D128" s="450" t="s">
        <v>283</v>
      </c>
      <c r="E128" s="457">
        <f>Test!$E$19*PCUsers/2500*40</f>
        <v>3.3026314820067371</v>
      </c>
      <c r="F128" s="465"/>
      <c r="G128" s="546">
        <f>G127*3</f>
        <v>6610.8681319343414</v>
      </c>
      <c r="H128" s="544">
        <f t="shared" si="3"/>
        <v>21833.261215921422</v>
      </c>
      <c r="I128" s="684"/>
      <c r="J128" s="146"/>
      <c r="K128" s="208" t="s">
        <v>292</v>
      </c>
      <c r="L128" s="208" t="s">
        <v>283</v>
      </c>
      <c r="M128" s="146"/>
    </row>
    <row r="129" spans="1:13" s="12" customFormat="1">
      <c r="A129" s="146"/>
      <c r="B129" s="146"/>
      <c r="C129" s="464" t="s">
        <v>293</v>
      </c>
      <c r="D129" s="450" t="s">
        <v>283</v>
      </c>
      <c r="E129" s="457">
        <f>Test!$E$19*PCUsers/2500*8</f>
        <v>0.66052629640134741</v>
      </c>
      <c r="F129" s="465"/>
      <c r="G129" s="549">
        <f>G127*2</f>
        <v>4407.2454212895609</v>
      </c>
      <c r="H129" s="544">
        <f t="shared" si="3"/>
        <v>2911.1014954561897</v>
      </c>
      <c r="I129" s="684"/>
      <c r="J129" s="146"/>
      <c r="K129" s="208" t="s">
        <v>293</v>
      </c>
      <c r="L129" s="208" t="s">
        <v>283</v>
      </c>
      <c r="M129" s="146"/>
    </row>
    <row r="130" spans="1:13" s="12" customFormat="1" ht="15" thickBot="1">
      <c r="A130" s="146"/>
      <c r="B130" s="146"/>
      <c r="C130" s="676" t="s">
        <v>252</v>
      </c>
      <c r="D130" s="454" t="s">
        <v>283</v>
      </c>
      <c r="E130" s="466">
        <f>Test!$E$19*PCUsers/2500*10</f>
        <v>0.82565787050168427</v>
      </c>
      <c r="F130" s="467"/>
      <c r="G130" s="548">
        <f>StaffCostWeekIT</f>
        <v>2203.6227106447805</v>
      </c>
      <c r="H130" s="544">
        <f t="shared" si="3"/>
        <v>1819.4384346601187</v>
      </c>
      <c r="I130" s="684"/>
      <c r="J130" s="146"/>
      <c r="K130" s="208" t="s">
        <v>252</v>
      </c>
      <c r="L130" s="208" t="s">
        <v>283</v>
      </c>
      <c r="M130" s="146"/>
    </row>
    <row r="131" spans="1:13" ht="15" thickTop="1">
      <c r="A131" s="146"/>
      <c r="B131" s="146"/>
      <c r="C131" s="198" t="str">
        <f>$C$93</f>
        <v>Total</v>
      </c>
      <c r="D131" s="270"/>
      <c r="E131" s="537">
        <f>SUMPRODUCT(E119:E130,$G119:$G130)</f>
        <v>49488.725422755226</v>
      </c>
      <c r="F131" s="537">
        <f>SUMPRODUCT(F119:F130,$G119:$G130)</f>
        <v>0</v>
      </c>
      <c r="G131" s="270"/>
      <c r="H131" s="136">
        <f>SUM(H119:H130)</f>
        <v>49488.725422755226</v>
      </c>
      <c r="I131" s="685"/>
      <c r="J131" s="146"/>
      <c r="K131" s="208"/>
      <c r="L131" s="208"/>
      <c r="M131" s="146"/>
    </row>
    <row r="132" spans="1:13" s="2" customFormat="1">
      <c r="A132" s="146"/>
      <c r="B132" s="146"/>
      <c r="C132" s="211" t="s">
        <v>294</v>
      </c>
      <c r="D132" s="146"/>
      <c r="E132" s="146"/>
      <c r="F132" s="270"/>
      <c r="G132" s="270"/>
      <c r="H132" s="270"/>
      <c r="I132" s="270"/>
      <c r="J132" s="146"/>
      <c r="K132" s="208"/>
      <c r="L132" s="208"/>
      <c r="M132" s="146"/>
    </row>
    <row r="133" spans="1:13" s="2" customFormat="1">
      <c r="A133" s="146"/>
      <c r="B133" s="146"/>
      <c r="C133" s="270"/>
      <c r="D133" s="146"/>
      <c r="E133" s="270"/>
      <c r="F133" s="270"/>
      <c r="G133" s="146"/>
      <c r="H133" s="270"/>
      <c r="I133" s="270"/>
      <c r="J133" s="146"/>
      <c r="K133" s="208"/>
      <c r="L133" s="208"/>
      <c r="M133" s="146"/>
    </row>
    <row r="134" spans="1:13" s="12" customFormat="1" ht="15">
      <c r="A134" s="146"/>
      <c r="B134" s="14" t="s">
        <v>295</v>
      </c>
      <c r="C134" s="270"/>
      <c r="D134" s="146"/>
      <c r="E134" s="270"/>
      <c r="F134" s="270"/>
      <c r="G134" s="146"/>
      <c r="H134" s="270"/>
      <c r="I134" s="270"/>
      <c r="J134" s="146"/>
      <c r="K134" s="208"/>
      <c r="L134" s="208"/>
      <c r="M134" s="146"/>
    </row>
    <row r="135" spans="1:13" s="12" customFormat="1">
      <c r="A135" s="13"/>
      <c r="B135" s="146"/>
      <c r="C135" s="146"/>
      <c r="D135" s="146"/>
      <c r="E135" s="782" t="s">
        <v>245</v>
      </c>
      <c r="F135" s="783"/>
      <c r="G135" s="146"/>
      <c r="H135" s="146"/>
      <c r="I135" s="146"/>
      <c r="J135" s="146"/>
      <c r="K135" s="208"/>
      <c r="L135" s="208"/>
      <c r="M135" s="146"/>
    </row>
    <row r="136" spans="1:13" s="12" customFormat="1" ht="26.25" thickBot="1">
      <c r="A136" s="146"/>
      <c r="B136" s="146"/>
      <c r="C136" s="146"/>
      <c r="D136" s="686" t="s">
        <v>244</v>
      </c>
      <c r="E136" s="701" t="str">
        <f>$D$6</f>
        <v>One-Time</v>
      </c>
      <c r="F136" s="691" t="str">
        <f>$E$6</f>
        <v>Annual Recurring</v>
      </c>
      <c r="G136" s="686" t="s">
        <v>243</v>
      </c>
      <c r="H136" s="690" t="str">
        <f>H97</f>
        <v>Project Total</v>
      </c>
      <c r="I136" s="686" t="str">
        <f>$I$79</f>
        <v>Comments</v>
      </c>
      <c r="J136" s="146"/>
      <c r="K136" s="208"/>
      <c r="L136" s="208"/>
      <c r="M136" s="146"/>
    </row>
    <row r="137" spans="1:13" s="12" customFormat="1">
      <c r="A137" s="146"/>
      <c r="B137" s="146"/>
      <c r="C137" s="675" t="s">
        <v>296</v>
      </c>
      <c r="D137" s="447" t="s">
        <v>297</v>
      </c>
      <c r="E137" s="463"/>
      <c r="F137" s="468">
        <f>Test!$E$20*PCUsers/2500*0.5</f>
        <v>2.7521929016722804E-2</v>
      </c>
      <c r="G137" s="543">
        <f t="shared" ref="G137:G142" si="4">StaffCostWeekIT</f>
        <v>2203.6227106447805</v>
      </c>
      <c r="H137" s="544">
        <f t="shared" ref="H137:H145" si="5">G137*(E137+ProjectTtlMultCosts*F137)</f>
        <v>303.23973911001963</v>
      </c>
      <c r="I137" s="683"/>
      <c r="J137" s="146"/>
      <c r="K137" s="208" t="s">
        <v>296</v>
      </c>
      <c r="L137" s="208" t="s">
        <v>297</v>
      </c>
      <c r="M137" s="146"/>
    </row>
    <row r="138" spans="1:13" s="12" customFormat="1">
      <c r="A138" s="146"/>
      <c r="B138" s="146"/>
      <c r="C138" s="464" t="s">
        <v>298</v>
      </c>
      <c r="D138" s="450" t="s">
        <v>299</v>
      </c>
      <c r="E138" s="465"/>
      <c r="F138" s="469">
        <f>Test!$E$20*PCUsers/2500*0.5</f>
        <v>2.7521929016722804E-2</v>
      </c>
      <c r="G138" s="546">
        <f t="shared" si="4"/>
        <v>2203.6227106447805</v>
      </c>
      <c r="H138" s="544">
        <f t="shared" si="5"/>
        <v>303.23973911001963</v>
      </c>
      <c r="I138" s="684"/>
      <c r="J138" s="146"/>
      <c r="K138" s="208" t="s">
        <v>298</v>
      </c>
      <c r="L138" s="208" t="s">
        <v>299</v>
      </c>
      <c r="M138" s="146"/>
    </row>
    <row r="139" spans="1:13" s="12" customFormat="1">
      <c r="A139" s="146"/>
      <c r="B139" s="146"/>
      <c r="C139" s="464" t="s">
        <v>300</v>
      </c>
      <c r="D139" s="450" t="s">
        <v>299</v>
      </c>
      <c r="E139" s="465"/>
      <c r="F139" s="469">
        <f>Test!$E$20*PCUsers/2500*0.25</f>
        <v>1.3760964508361402E-2</v>
      </c>
      <c r="G139" s="546">
        <f t="shared" si="4"/>
        <v>2203.6227106447805</v>
      </c>
      <c r="H139" s="544">
        <f t="shared" si="5"/>
        <v>151.61986955500981</v>
      </c>
      <c r="I139" s="684"/>
      <c r="J139" s="146"/>
      <c r="K139" s="208" t="s">
        <v>300</v>
      </c>
      <c r="L139" s="208" t="s">
        <v>299</v>
      </c>
      <c r="M139" s="146"/>
    </row>
    <row r="140" spans="1:13" s="12" customFormat="1">
      <c r="A140" s="146"/>
      <c r="B140" s="146"/>
      <c r="C140" s="464" t="s">
        <v>285</v>
      </c>
      <c r="D140" s="450" t="s">
        <v>299</v>
      </c>
      <c r="E140" s="465"/>
      <c r="F140" s="469">
        <f>Test!$E$20*PCUsers/2500*0.5</f>
        <v>2.7521929016722804E-2</v>
      </c>
      <c r="G140" s="546">
        <f t="shared" si="4"/>
        <v>2203.6227106447805</v>
      </c>
      <c r="H140" s="544">
        <f t="shared" si="5"/>
        <v>303.23973911001963</v>
      </c>
      <c r="I140" s="684"/>
      <c r="J140" s="146"/>
      <c r="K140" s="208" t="s">
        <v>285</v>
      </c>
      <c r="L140" s="208" t="s">
        <v>299</v>
      </c>
      <c r="M140" s="146"/>
    </row>
    <row r="141" spans="1:13" s="12" customFormat="1">
      <c r="A141" s="146"/>
      <c r="B141" s="146"/>
      <c r="C141" s="464" t="s">
        <v>301</v>
      </c>
      <c r="D141" s="450" t="s">
        <v>299</v>
      </c>
      <c r="E141" s="465"/>
      <c r="F141" s="469">
        <f>Test!$E$20*PCUsers/2500*0.1</f>
        <v>5.5043858033445615E-3</v>
      </c>
      <c r="G141" s="546">
        <f t="shared" si="4"/>
        <v>2203.6227106447805</v>
      </c>
      <c r="H141" s="544">
        <f t="shared" si="5"/>
        <v>60.647947822003928</v>
      </c>
      <c r="I141" s="684"/>
      <c r="J141" s="146"/>
      <c r="K141" s="208" t="s">
        <v>301</v>
      </c>
      <c r="L141" s="208" t="s">
        <v>299</v>
      </c>
      <c r="M141" s="146"/>
    </row>
    <row r="142" spans="1:13" s="12" customFormat="1">
      <c r="A142" s="146"/>
      <c r="B142" s="146"/>
      <c r="C142" s="464" t="s">
        <v>289</v>
      </c>
      <c r="D142" s="450" t="s">
        <v>299</v>
      </c>
      <c r="E142" s="465"/>
      <c r="F142" s="469">
        <f>Test!$E$20*PCUsers/2500*0.1</f>
        <v>5.5043858033445615E-3</v>
      </c>
      <c r="G142" s="546">
        <f t="shared" si="4"/>
        <v>2203.6227106447805</v>
      </c>
      <c r="H142" s="544">
        <f t="shared" si="5"/>
        <v>60.647947822003928</v>
      </c>
      <c r="I142" s="684"/>
      <c r="J142" s="146"/>
      <c r="K142" s="208" t="s">
        <v>289</v>
      </c>
      <c r="L142" s="208" t="s">
        <v>299</v>
      </c>
      <c r="M142" s="146"/>
    </row>
    <row r="143" spans="1:13" s="12" customFormat="1">
      <c r="A143" s="146"/>
      <c r="B143" s="146"/>
      <c r="C143" s="464" t="s">
        <v>293</v>
      </c>
      <c r="D143" s="450" t="s">
        <v>299</v>
      </c>
      <c r="E143" s="465"/>
      <c r="F143" s="469">
        <f>Test!$E$20*PCUsers/2500*0</f>
        <v>0</v>
      </c>
      <c r="G143" s="546">
        <f>G142*1.5</f>
        <v>3305.4340659671707</v>
      </c>
      <c r="H143" s="544">
        <f t="shared" si="5"/>
        <v>0</v>
      </c>
      <c r="I143" s="684"/>
      <c r="J143" s="146"/>
      <c r="K143" s="208" t="s">
        <v>293</v>
      </c>
      <c r="L143" s="208" t="s">
        <v>299</v>
      </c>
      <c r="M143" s="146"/>
    </row>
    <row r="144" spans="1:13" s="12" customFormat="1">
      <c r="A144" s="146"/>
      <c r="B144" s="146"/>
      <c r="C144" s="464" t="s">
        <v>302</v>
      </c>
      <c r="D144" s="450"/>
      <c r="E144" s="465"/>
      <c r="F144" s="469">
        <f>Test!$E$20*PCUsers/2500*0</f>
        <v>0</v>
      </c>
      <c r="G144" s="546"/>
      <c r="H144" s="544">
        <f t="shared" si="5"/>
        <v>0</v>
      </c>
      <c r="I144" s="684"/>
      <c r="J144" s="146"/>
      <c r="K144" s="208" t="s">
        <v>302</v>
      </c>
      <c r="L144" s="208"/>
      <c r="M144" s="146"/>
    </row>
    <row r="145" spans="1:13" s="12" customFormat="1" ht="15" thickBot="1">
      <c r="A145" s="146"/>
      <c r="B145" s="146"/>
      <c r="C145" s="676" t="s">
        <v>252</v>
      </c>
      <c r="D145" s="454"/>
      <c r="E145" s="467"/>
      <c r="F145" s="470">
        <f>Test!$E$20*PCUsers/2500*0</f>
        <v>0</v>
      </c>
      <c r="G145" s="548"/>
      <c r="H145" s="544">
        <f t="shared" si="5"/>
        <v>0</v>
      </c>
      <c r="I145" s="684"/>
      <c r="J145" s="146"/>
      <c r="K145" s="208" t="s">
        <v>252</v>
      </c>
      <c r="L145" s="208"/>
      <c r="M145" s="146"/>
    </row>
    <row r="146" spans="1:13" s="12" customFormat="1" ht="15" thickTop="1">
      <c r="A146" s="146"/>
      <c r="B146" s="146"/>
      <c r="C146" s="198" t="str">
        <f>$C$93</f>
        <v>Total</v>
      </c>
      <c r="D146" s="270"/>
      <c r="E146" s="537">
        <f>SUMPRODUCT(E137:E145,$G137:$G145)</f>
        <v>0</v>
      </c>
      <c r="F146" s="537">
        <f>SUMPRODUCT(F137:F145,$G137:$G145)</f>
        <v>236.52699650581539</v>
      </c>
      <c r="G146" s="146"/>
      <c r="H146" s="136">
        <f>SUM(H137:H145)</f>
        <v>1182.6349825290768</v>
      </c>
      <c r="I146" s="685"/>
      <c r="J146" s="146"/>
      <c r="K146" s="208"/>
      <c r="L146" s="208"/>
      <c r="M146" s="146"/>
    </row>
    <row r="147" spans="1:13" s="12" customFormat="1">
      <c r="A147" s="146"/>
      <c r="B147" s="146"/>
      <c r="C147" s="211" t="s">
        <v>303</v>
      </c>
      <c r="D147" s="146"/>
      <c r="E147" s="146"/>
      <c r="F147" s="270"/>
      <c r="G147" s="270"/>
      <c r="H147" s="270"/>
      <c r="I147" s="270"/>
      <c r="J147" s="146"/>
      <c r="K147" s="208"/>
      <c r="L147" s="208"/>
      <c r="M147" s="146"/>
    </row>
    <row r="148" spans="1:13" s="12" customFormat="1">
      <c r="A148" s="146"/>
      <c r="B148" s="146"/>
      <c r="C148" s="270"/>
      <c r="D148" s="146"/>
      <c r="E148" s="146"/>
      <c r="F148" s="270"/>
      <c r="G148" s="270"/>
      <c r="H148" s="270"/>
      <c r="I148" s="270"/>
      <c r="J148" s="146"/>
      <c r="K148" s="208"/>
      <c r="L148" s="208"/>
      <c r="M148" s="146"/>
    </row>
    <row r="149" spans="1:13" ht="15.75" thickBot="1">
      <c r="A149" s="146"/>
      <c r="B149" s="6" t="s">
        <v>304</v>
      </c>
      <c r="C149" s="146"/>
      <c r="D149" s="270"/>
      <c r="E149" s="270"/>
      <c r="F149" s="270"/>
      <c r="G149" s="270"/>
      <c r="H149" s="270"/>
      <c r="I149" s="270"/>
      <c r="J149" s="146"/>
      <c r="K149" s="208"/>
      <c r="L149" s="208"/>
      <c r="M149" s="146"/>
    </row>
    <row r="150" spans="1:13" ht="51">
      <c r="A150" s="146"/>
      <c r="B150" s="146"/>
      <c r="C150" s="837" t="s">
        <v>305</v>
      </c>
      <c r="D150" s="444">
        <f>Test!$E$21*0.5</f>
        <v>2.5000000000000001E-2</v>
      </c>
      <c r="E150" s="146"/>
      <c r="F150" s="146"/>
      <c r="G150" s="146"/>
      <c r="H150" s="146"/>
      <c r="I150" s="146"/>
      <c r="J150" s="146"/>
      <c r="K150" s="208"/>
      <c r="L150" s="208"/>
      <c r="M150" s="146"/>
    </row>
    <row r="151" spans="1:13" ht="25.5">
      <c r="A151" s="146"/>
      <c r="B151" s="146"/>
      <c r="C151" s="837" t="s">
        <v>306</v>
      </c>
      <c r="D151" s="471">
        <v>1.5</v>
      </c>
      <c r="E151" s="146"/>
      <c r="F151" s="146"/>
      <c r="G151" s="146"/>
      <c r="H151" s="146"/>
      <c r="I151" s="146"/>
      <c r="J151" s="146"/>
      <c r="K151" s="208"/>
      <c r="L151" s="208"/>
      <c r="M151" s="146"/>
    </row>
    <row r="152" spans="1:13" ht="26.25" thickBot="1">
      <c r="A152" s="146"/>
      <c r="B152" s="146"/>
      <c r="C152" s="837" t="s">
        <v>307</v>
      </c>
      <c r="D152" s="472">
        <v>25</v>
      </c>
      <c r="E152" s="146"/>
      <c r="F152" s="146"/>
      <c r="G152" s="146"/>
      <c r="H152" s="146"/>
      <c r="I152" s="146"/>
      <c r="J152" s="146"/>
      <c r="K152" s="208"/>
      <c r="L152" s="208"/>
      <c r="M152" s="146"/>
    </row>
    <row r="153" spans="1:13" ht="15" thickBot="1">
      <c r="A153" s="146"/>
      <c r="B153" s="146"/>
      <c r="C153" s="838" t="s">
        <v>308</v>
      </c>
      <c r="D153" s="199">
        <f>D152/60*D151*D150*PCUsers</f>
        <v>43.003014088629385</v>
      </c>
      <c r="E153" s="146"/>
      <c r="F153" s="146"/>
      <c r="G153" s="146"/>
      <c r="H153" s="146"/>
      <c r="I153" s="146"/>
      <c r="J153" s="146"/>
      <c r="K153" s="208"/>
      <c r="L153" s="208"/>
      <c r="M153" s="146"/>
    </row>
    <row r="154" spans="1:13" ht="15" thickTop="1">
      <c r="A154" s="146"/>
      <c r="B154" s="146"/>
      <c r="C154" s="135" t="str">
        <f>$C$93</f>
        <v>Total</v>
      </c>
      <c r="D154" s="550">
        <f>D153*StaffCostHourIT</f>
        <v>2701.5601757334543</v>
      </c>
      <c r="E154" s="146"/>
      <c r="F154" s="146"/>
      <c r="G154" s="146"/>
      <c r="H154" s="146"/>
      <c r="I154" s="146"/>
      <c r="J154" s="146"/>
      <c r="K154" s="208"/>
      <c r="L154" s="208"/>
      <c r="M154" s="146"/>
    </row>
    <row r="155" spans="1:13">
      <c r="A155" s="146"/>
      <c r="B155" s="146"/>
      <c r="C155" s="270"/>
      <c r="D155" s="270"/>
      <c r="E155" s="270"/>
      <c r="F155" s="270"/>
      <c r="G155" s="270"/>
      <c r="H155" s="270"/>
      <c r="I155" s="270"/>
      <c r="J155" s="146"/>
      <c r="K155" s="208"/>
      <c r="L155" s="208"/>
      <c r="M155" s="146"/>
    </row>
    <row r="156" spans="1:13" ht="15">
      <c r="A156" s="146"/>
      <c r="B156" s="6" t="s">
        <v>309</v>
      </c>
      <c r="C156" s="270"/>
      <c r="D156" s="146"/>
      <c r="E156" s="146"/>
      <c r="F156" s="146"/>
      <c r="G156" s="146"/>
      <c r="H156" s="146"/>
      <c r="I156" s="146"/>
      <c r="J156" s="146"/>
      <c r="K156" s="208"/>
      <c r="L156" s="208"/>
      <c r="M156" s="146"/>
    </row>
    <row r="157" spans="1:13" ht="39" thickBot="1">
      <c r="A157" s="146"/>
      <c r="B157" s="146"/>
      <c r="C157" s="146"/>
      <c r="D157" s="691" t="s">
        <v>310</v>
      </c>
      <c r="E157" s="691" t="s">
        <v>311</v>
      </c>
      <c r="F157" s="686" t="s">
        <v>312</v>
      </c>
      <c r="G157" s="679" t="str">
        <f>$H$79</f>
        <v>Project Total</v>
      </c>
      <c r="H157" s="146"/>
      <c r="I157" s="686" t="str">
        <f>$I$79</f>
        <v>Comments</v>
      </c>
      <c r="J157" s="146"/>
      <c r="K157" s="208"/>
      <c r="L157" s="208"/>
      <c r="M157" s="146"/>
    </row>
    <row r="158" spans="1:13" ht="25.5">
      <c r="A158" s="146"/>
      <c r="B158" s="146"/>
      <c r="C158" s="839" t="s">
        <v>313</v>
      </c>
      <c r="D158" s="462">
        <f>Test!$E$22*PCUsers/2500*8</f>
        <v>1.7614034570702595</v>
      </c>
      <c r="E158" s="456">
        <f>Test!$E$22*PCUsers/2500*40</f>
        <v>8.8070172853512965</v>
      </c>
      <c r="F158" s="473">
        <f>Test!$E$22*PCUsers/2500*40</f>
        <v>8.8070172853512965</v>
      </c>
      <c r="G158" s="146"/>
      <c r="H158" s="146"/>
      <c r="I158" s="688"/>
      <c r="J158" s="146"/>
      <c r="K158" s="208"/>
      <c r="L158" s="208"/>
      <c r="M158" s="146"/>
    </row>
    <row r="159" spans="1:13">
      <c r="A159" s="146"/>
      <c r="B159" s="146"/>
      <c r="C159" s="839" t="s">
        <v>314</v>
      </c>
      <c r="D159" s="464">
        <v>32</v>
      </c>
      <c r="E159" s="450">
        <v>16</v>
      </c>
      <c r="F159" s="474">
        <v>40</v>
      </c>
      <c r="G159" s="146"/>
      <c r="H159" s="146"/>
      <c r="I159" s="682"/>
      <c r="J159" s="146"/>
      <c r="K159" s="208"/>
      <c r="L159" s="208"/>
      <c r="M159" s="146"/>
    </row>
    <row r="160" spans="1:13" s="12" customFormat="1" ht="15" thickBot="1">
      <c r="A160" s="146"/>
      <c r="B160" s="146"/>
      <c r="C160" s="839" t="s">
        <v>315</v>
      </c>
      <c r="D160" s="551">
        <f>StaffCostHourIT</f>
        <v>62.822577277153826</v>
      </c>
      <c r="E160" s="547">
        <f>StaffCostHourIT</f>
        <v>62.822577277153826</v>
      </c>
      <c r="F160" s="548">
        <f>StaffCostHourIT</f>
        <v>62.822577277153826</v>
      </c>
      <c r="G160" s="146"/>
      <c r="H160" s="146"/>
      <c r="I160" s="682"/>
      <c r="J160" s="146"/>
      <c r="K160" s="208"/>
      <c r="L160" s="208"/>
      <c r="M160" s="146"/>
    </row>
    <row r="161" spans="1:13" ht="15" thickBot="1">
      <c r="A161" s="146"/>
      <c r="B161" s="146"/>
      <c r="C161" s="840" t="s">
        <v>316</v>
      </c>
      <c r="D161" s="552">
        <f>D159*D160</f>
        <v>2010.3224728689224</v>
      </c>
      <c r="E161" s="553">
        <f>E159*E160</f>
        <v>1005.1612364344612</v>
      </c>
      <c r="F161" s="553">
        <f>F159*F160</f>
        <v>2512.9030910861529</v>
      </c>
      <c r="G161" s="209"/>
      <c r="H161" s="146"/>
      <c r="I161" s="682"/>
      <c r="J161" s="209"/>
      <c r="K161" s="208"/>
      <c r="L161" s="208"/>
      <c r="M161" s="146"/>
    </row>
    <row r="162" spans="1:13" ht="26.25" thickBot="1">
      <c r="A162" s="146"/>
      <c r="B162" s="146"/>
      <c r="C162" s="839" t="s">
        <v>317</v>
      </c>
      <c r="D162" s="554">
        <f>ExchangeRate*500*3</f>
        <v>1500</v>
      </c>
      <c r="E162" s="555">
        <f>ExchangeRate*300</f>
        <v>300</v>
      </c>
      <c r="F162" s="556">
        <f>ExchangeRate*75</f>
        <v>75</v>
      </c>
      <c r="G162" s="146"/>
      <c r="H162" s="146"/>
      <c r="I162" s="682"/>
      <c r="J162" s="146"/>
      <c r="K162" s="208"/>
      <c r="L162" s="208"/>
      <c r="M162" s="146"/>
    </row>
    <row r="163" spans="1:13" ht="15" thickBot="1">
      <c r="A163" s="146"/>
      <c r="B163" s="146"/>
      <c r="C163" s="296" t="s">
        <v>318</v>
      </c>
      <c r="D163" s="557">
        <f>D161+D162</f>
        <v>3510.3224728689224</v>
      </c>
      <c r="E163" s="558">
        <f>E161+E162</f>
        <v>1305.1612364344612</v>
      </c>
      <c r="F163" s="558">
        <f>F161+F162</f>
        <v>2587.9030910861529</v>
      </c>
      <c r="G163" s="146"/>
      <c r="H163" s="559"/>
      <c r="I163" s="682"/>
      <c r="J163" s="559"/>
      <c r="K163" s="208"/>
      <c r="L163" s="208"/>
      <c r="M163" s="146"/>
    </row>
    <row r="164" spans="1:13" ht="15" thickTop="1">
      <c r="A164" s="146"/>
      <c r="B164" s="146"/>
      <c r="C164" s="702" t="s">
        <v>319</v>
      </c>
      <c r="D164" s="560">
        <f>D163*D158</f>
        <v>6183.0941391427423</v>
      </c>
      <c r="E164" s="550">
        <f>E163*E158</f>
        <v>11494.577569448771</v>
      </c>
      <c r="F164" s="550">
        <f>F163*F158</f>
        <v>22791.707256009799</v>
      </c>
      <c r="G164" s="550">
        <f>SUM(D164:F164)</f>
        <v>40469.378964601317</v>
      </c>
      <c r="H164" s="146"/>
      <c r="I164" s="687"/>
      <c r="J164" s="146"/>
      <c r="K164" s="208"/>
      <c r="L164" s="208"/>
      <c r="M164" s="146"/>
    </row>
    <row r="165" spans="1:13">
      <c r="A165" s="146"/>
      <c r="B165" s="146"/>
      <c r="C165" s="206"/>
      <c r="D165" s="561"/>
      <c r="E165" s="561"/>
      <c r="F165" s="561"/>
      <c r="G165" s="561"/>
      <c r="H165" s="561"/>
      <c r="I165" s="561"/>
      <c r="J165" s="146"/>
      <c r="K165" s="208"/>
      <c r="L165" s="208"/>
      <c r="M165" s="146"/>
    </row>
    <row r="166" spans="1:13" ht="22.5">
      <c r="A166" s="22" t="s">
        <v>320</v>
      </c>
      <c r="B166" s="22"/>
      <c r="C166" s="146"/>
      <c r="D166" s="561"/>
      <c r="E166" s="561"/>
      <c r="F166" s="561"/>
      <c r="G166" s="561"/>
      <c r="H166" s="561"/>
      <c r="I166" s="561"/>
      <c r="J166" s="146"/>
      <c r="K166" s="208"/>
      <c r="L166" s="208"/>
      <c r="M166" s="146"/>
    </row>
    <row r="167" spans="1:13" s="12" customFormat="1" ht="33.75" customHeight="1">
      <c r="A167" s="146"/>
      <c r="B167" s="781" t="s">
        <v>321</v>
      </c>
      <c r="C167" s="781"/>
      <c r="D167" s="781"/>
      <c r="E167" s="781"/>
      <c r="F167" s="781"/>
      <c r="G167" s="781"/>
      <c r="H167" s="781"/>
      <c r="I167" s="781"/>
      <c r="J167" s="146"/>
      <c r="K167" s="208"/>
      <c r="L167" s="208"/>
      <c r="M167" s="146"/>
    </row>
    <row r="168" spans="1:13" ht="15">
      <c r="A168" s="146"/>
      <c r="B168" s="6" t="s">
        <v>322</v>
      </c>
      <c r="C168" s="146"/>
      <c r="D168" s="270"/>
      <c r="E168" s="146"/>
      <c r="F168" s="146"/>
      <c r="G168" s="146"/>
      <c r="H168" s="146"/>
      <c r="I168" s="146"/>
      <c r="J168" s="146"/>
      <c r="K168" s="208"/>
      <c r="L168" s="208"/>
      <c r="M168" s="146"/>
    </row>
    <row r="169" spans="1:13" s="2" customFormat="1" ht="15" customHeight="1">
      <c r="A169" s="146"/>
      <c r="B169" s="6"/>
      <c r="C169" s="146"/>
      <c r="D169" s="270"/>
      <c r="E169" s="146"/>
      <c r="F169" s="782" t="s">
        <v>323</v>
      </c>
      <c r="G169" s="783"/>
      <c r="H169" s="146"/>
      <c r="I169" s="146"/>
      <c r="J169" s="146"/>
      <c r="K169" s="208"/>
      <c r="L169" s="208"/>
      <c r="M169" s="146"/>
    </row>
    <row r="170" spans="1:13" s="12" customFormat="1" ht="26.25" thickBot="1">
      <c r="A170" s="146"/>
      <c r="B170" s="6"/>
      <c r="C170" s="146"/>
      <c r="D170" s="691" t="s">
        <v>324</v>
      </c>
      <c r="E170" s="671" t="s">
        <v>325</v>
      </c>
      <c r="F170" s="701" t="str">
        <f>$D$6</f>
        <v>One-Time</v>
      </c>
      <c r="G170" s="686" t="str">
        <f>$E$6</f>
        <v>Annual Recurring</v>
      </c>
      <c r="H170" s="680" t="str">
        <f>$F$6</f>
        <v>Project Total</v>
      </c>
      <c r="I170" s="686" t="str">
        <f>$I$79</f>
        <v>Comments</v>
      </c>
      <c r="J170" s="146"/>
      <c r="K170" s="208"/>
      <c r="L170" s="208"/>
      <c r="M170" s="146"/>
    </row>
    <row r="171" spans="1:13">
      <c r="A171" s="204"/>
      <c r="B171" s="204"/>
      <c r="C171" s="446" t="s">
        <v>326</v>
      </c>
      <c r="D171" s="475">
        <f>Test!$E$25*0.05</f>
        <v>1.2500000000000002E-3</v>
      </c>
      <c r="E171" s="200">
        <f t="shared" ref="E171:E177" si="6">D171*PCUsers</f>
        <v>3.4402411270903515</v>
      </c>
      <c r="F171" s="675">
        <v>10</v>
      </c>
      <c r="G171" s="476">
        <v>0</v>
      </c>
      <c r="H171" s="544">
        <f t="shared" ref="H171:H177" si="7">E171*(F171+ProjectTtlMultCosts*G171)*UserRate</f>
        <v>1582.5621512077114</v>
      </c>
      <c r="I171" s="683"/>
      <c r="J171" s="146"/>
      <c r="K171" s="208" t="s">
        <v>326</v>
      </c>
      <c r="L171" s="208"/>
      <c r="M171" s="146"/>
    </row>
    <row r="172" spans="1:13" ht="38.25">
      <c r="A172" s="204"/>
      <c r="B172" s="204"/>
      <c r="C172" s="449" t="s">
        <v>327</v>
      </c>
      <c r="D172" s="477">
        <f>Test!$E$25*0.05</f>
        <v>1.2500000000000002E-3</v>
      </c>
      <c r="E172" s="137">
        <f t="shared" si="6"/>
        <v>3.4402411270903515</v>
      </c>
      <c r="F172" s="464">
        <v>1</v>
      </c>
      <c r="G172" s="474">
        <v>0</v>
      </c>
      <c r="H172" s="544">
        <f t="shared" si="7"/>
        <v>158.25621512077115</v>
      </c>
      <c r="I172" s="684"/>
      <c r="J172" s="146"/>
      <c r="K172" s="208" t="s">
        <v>327</v>
      </c>
      <c r="L172" s="208"/>
      <c r="M172" s="146"/>
    </row>
    <row r="173" spans="1:13" s="2" customFormat="1" ht="25.5">
      <c r="A173" s="204"/>
      <c r="B173" s="204"/>
      <c r="C173" s="449" t="s">
        <v>328</v>
      </c>
      <c r="D173" s="477">
        <f>Test!$E$25*0.15</f>
        <v>3.7499999999999999E-3</v>
      </c>
      <c r="E173" s="137">
        <f t="shared" si="6"/>
        <v>10.320723381271051</v>
      </c>
      <c r="F173" s="464">
        <v>5</v>
      </c>
      <c r="G173" s="474">
        <v>2</v>
      </c>
      <c r="H173" s="544">
        <f t="shared" si="7"/>
        <v>7121.5296804346981</v>
      </c>
      <c r="I173" s="684"/>
      <c r="J173" s="146"/>
      <c r="K173" s="208" t="s">
        <v>328</v>
      </c>
      <c r="L173" s="208"/>
      <c r="M173" s="146"/>
    </row>
    <row r="174" spans="1:13">
      <c r="A174" s="204"/>
      <c r="B174" s="204"/>
      <c r="C174" s="449" t="s">
        <v>329</v>
      </c>
      <c r="D174" s="477">
        <f>Test!$E$25*0.5</f>
        <v>1.2500000000000001E-2</v>
      </c>
      <c r="E174" s="137">
        <f t="shared" si="6"/>
        <v>34.402411270903507</v>
      </c>
      <c r="F174" s="464">
        <v>4</v>
      </c>
      <c r="G174" s="474">
        <v>0</v>
      </c>
      <c r="H174" s="544">
        <f t="shared" si="7"/>
        <v>6330.2486048308447</v>
      </c>
      <c r="I174" s="684"/>
      <c r="J174" s="146"/>
      <c r="K174" s="208" t="s">
        <v>329</v>
      </c>
      <c r="L174" s="208"/>
      <c r="M174" s="146"/>
    </row>
    <row r="175" spans="1:13" s="2" customFormat="1">
      <c r="A175" s="204"/>
      <c r="B175" s="204"/>
      <c r="C175" s="449" t="s">
        <v>330</v>
      </c>
      <c r="D175" s="477">
        <f>Test!$E$25*0.1</f>
        <v>2.5000000000000005E-3</v>
      </c>
      <c r="E175" s="137">
        <f t="shared" si="6"/>
        <v>6.8804822541807029</v>
      </c>
      <c r="F175" s="464">
        <v>0</v>
      </c>
      <c r="G175" s="474">
        <v>10</v>
      </c>
      <c r="H175" s="544">
        <f t="shared" si="7"/>
        <v>15825.621512077108</v>
      </c>
      <c r="I175" s="684"/>
      <c r="J175" s="146"/>
      <c r="K175" s="208" t="s">
        <v>330</v>
      </c>
      <c r="L175" s="208"/>
      <c r="M175" s="146"/>
    </row>
    <row r="176" spans="1:13" s="2" customFormat="1">
      <c r="A176" s="204"/>
      <c r="B176" s="204"/>
      <c r="C176" s="449" t="s">
        <v>252</v>
      </c>
      <c r="D176" s="477">
        <f>Test!$E$25*0</f>
        <v>0</v>
      </c>
      <c r="E176" s="137">
        <f t="shared" si="6"/>
        <v>0</v>
      </c>
      <c r="F176" s="464">
        <v>0</v>
      </c>
      <c r="G176" s="474">
        <v>0</v>
      </c>
      <c r="H176" s="544">
        <f t="shared" si="7"/>
        <v>0</v>
      </c>
      <c r="I176" s="684"/>
      <c r="J176" s="146"/>
      <c r="K176" s="208" t="s">
        <v>252</v>
      </c>
      <c r="L176" s="208"/>
      <c r="M176" s="146"/>
    </row>
    <row r="177" spans="1:13" s="2" customFormat="1" ht="15" thickBot="1">
      <c r="A177" s="204"/>
      <c r="B177" s="204"/>
      <c r="C177" s="453" t="s">
        <v>252</v>
      </c>
      <c r="D177" s="478">
        <f>Test!$E$25*0</f>
        <v>0</v>
      </c>
      <c r="E177" s="137">
        <f t="shared" si="6"/>
        <v>0</v>
      </c>
      <c r="F177" s="676">
        <v>0</v>
      </c>
      <c r="G177" s="479">
        <v>0</v>
      </c>
      <c r="H177" s="544">
        <f t="shared" si="7"/>
        <v>0</v>
      </c>
      <c r="I177" s="685"/>
      <c r="J177" s="146"/>
      <c r="K177" s="208" t="s">
        <v>252</v>
      </c>
      <c r="L177" s="208"/>
      <c r="M177" s="146"/>
    </row>
    <row r="178" spans="1:13" ht="15" thickTop="1">
      <c r="A178" s="204"/>
      <c r="B178" s="204"/>
      <c r="C178" s="135" t="str">
        <f>$C$93</f>
        <v>Total</v>
      </c>
      <c r="D178" s="146"/>
      <c r="E178" s="146"/>
      <c r="F178" s="558">
        <f>UserRate*SUMPRODUCT(F171:F177,E171:E177)</f>
        <v>10444.910197970894</v>
      </c>
      <c r="G178" s="558">
        <f>UserRate*SUMPRODUCT(G171:G177,E171:E177)</f>
        <v>4114.6615931400493</v>
      </c>
      <c r="H178" s="550">
        <f>SUM(H171:H177)</f>
        <v>31018.218163671136</v>
      </c>
      <c r="I178" s="146"/>
      <c r="J178" s="146"/>
      <c r="K178" s="146"/>
      <c r="L178" s="146"/>
      <c r="M178" s="146"/>
    </row>
    <row r="179" spans="1:13" s="12" customFormat="1">
      <c r="A179" s="146"/>
      <c r="B179" s="146"/>
      <c r="C179" s="270"/>
      <c r="D179" s="146"/>
      <c r="E179" s="146"/>
      <c r="F179" s="146"/>
      <c r="G179" s="146"/>
      <c r="H179" s="146"/>
      <c r="I179" s="146"/>
      <c r="J179" s="146"/>
      <c r="K179" s="146"/>
      <c r="L179" s="146"/>
      <c r="M179" s="146"/>
    </row>
    <row r="180" spans="1:13" s="2" customFormat="1" ht="15">
      <c r="A180" s="146"/>
      <c r="B180" s="6" t="s">
        <v>331</v>
      </c>
      <c r="C180" s="270"/>
      <c r="D180" s="146"/>
      <c r="E180" s="146"/>
      <c r="F180" s="146"/>
      <c r="G180" s="146"/>
      <c r="H180" s="146"/>
      <c r="I180" s="146"/>
      <c r="J180" s="146"/>
      <c r="K180" s="146"/>
      <c r="L180" s="146"/>
      <c r="M180" s="146"/>
    </row>
    <row r="181" spans="1:13" s="12" customFormat="1" ht="39" thickBot="1">
      <c r="A181" s="146"/>
      <c r="B181" s="146"/>
      <c r="C181" s="146"/>
      <c r="D181" s="691" t="s">
        <v>332</v>
      </c>
      <c r="E181" s="691" t="s">
        <v>311</v>
      </c>
      <c r="F181" s="691" t="s">
        <v>312</v>
      </c>
      <c r="G181" s="671" t="s">
        <v>259</v>
      </c>
      <c r="H181" s="146"/>
      <c r="I181" s="686" t="str">
        <f>$I$79</f>
        <v>Comments</v>
      </c>
      <c r="J181" s="146"/>
      <c r="K181" s="146"/>
      <c r="L181" s="146"/>
      <c r="M181" s="146"/>
    </row>
    <row r="182" spans="1:13" s="12" customFormat="1" ht="15" thickBot="1">
      <c r="A182" s="146"/>
      <c r="B182" s="146"/>
      <c r="C182" s="839" t="s">
        <v>333</v>
      </c>
      <c r="D182" s="480">
        <v>0.1</v>
      </c>
      <c r="E182" s="481">
        <v>0.2</v>
      </c>
      <c r="F182" s="482">
        <v>0.4</v>
      </c>
      <c r="G182" s="146"/>
      <c r="H182" s="146"/>
      <c r="I182" s="688"/>
      <c r="J182" s="146"/>
      <c r="K182" s="146"/>
      <c r="L182" s="146"/>
      <c r="M182" s="146"/>
    </row>
    <row r="183" spans="1:13" s="12" customFormat="1" ht="15" thickBot="1">
      <c r="A183" s="146"/>
      <c r="B183" s="146"/>
      <c r="C183" s="840" t="s">
        <v>334</v>
      </c>
      <c r="D183" s="201">
        <f>D182*PCUsers</f>
        <v>275.21929016722805</v>
      </c>
      <c r="E183" s="139">
        <f>E182*PCUsers</f>
        <v>550.43858033445611</v>
      </c>
      <c r="F183" s="139">
        <f>F182*PCUsers</f>
        <v>1100.8771606689122</v>
      </c>
      <c r="G183" s="146"/>
      <c r="H183" s="146"/>
      <c r="I183" s="682"/>
      <c r="J183" s="146"/>
      <c r="K183" s="146"/>
      <c r="L183" s="146"/>
      <c r="M183" s="146"/>
    </row>
    <row r="184" spans="1:13" s="12" customFormat="1" ht="15" thickBot="1">
      <c r="A184" s="146"/>
      <c r="B184" s="146"/>
      <c r="C184" s="839" t="s">
        <v>335</v>
      </c>
      <c r="D184" s="483">
        <f>Test!$E$26*8</f>
        <v>0.2</v>
      </c>
      <c r="E184" s="484">
        <f>Test!$E$26*6</f>
        <v>0.15000000000000002</v>
      </c>
      <c r="F184" s="485">
        <f>Test!$E$26*16</f>
        <v>0.4</v>
      </c>
      <c r="G184" s="146"/>
      <c r="H184" s="146"/>
      <c r="I184" s="682"/>
      <c r="J184" s="146"/>
      <c r="K184" s="146"/>
      <c r="L184" s="146"/>
      <c r="M184" s="146"/>
    </row>
    <row r="185" spans="1:13" s="12" customFormat="1" ht="15" thickBot="1">
      <c r="A185" s="146"/>
      <c r="B185" s="146"/>
      <c r="C185" s="840" t="s">
        <v>315</v>
      </c>
      <c r="D185" s="562">
        <f>UserRate</f>
        <v>46.001489219629008</v>
      </c>
      <c r="E185" s="699">
        <f>UserRate</f>
        <v>46.001489219629008</v>
      </c>
      <c r="F185" s="699">
        <f>UserRate</f>
        <v>46.001489219629008</v>
      </c>
      <c r="G185" s="146"/>
      <c r="H185" s="146"/>
      <c r="I185" s="682"/>
      <c r="J185" s="146"/>
      <c r="K185" s="146"/>
      <c r="L185" s="146"/>
      <c r="M185" s="146"/>
    </row>
    <row r="186" spans="1:13" s="12" customFormat="1" ht="15.75" thickTop="1" thickBot="1">
      <c r="A186" s="146"/>
      <c r="B186" s="146"/>
      <c r="C186" s="840" t="s">
        <v>316</v>
      </c>
      <c r="D186" s="563">
        <f>D184*D185</f>
        <v>9.2002978439258012</v>
      </c>
      <c r="E186" s="564">
        <f>E184*E185</f>
        <v>6.9002233829443522</v>
      </c>
      <c r="F186" s="564">
        <f>F184*F185</f>
        <v>18.400595687851602</v>
      </c>
      <c r="G186" s="209"/>
      <c r="H186" s="146"/>
      <c r="I186" s="682"/>
      <c r="J186" s="209"/>
      <c r="K186" s="146"/>
      <c r="L186" s="146"/>
      <c r="M186" s="146"/>
    </row>
    <row r="187" spans="1:13" s="12" customFormat="1" ht="26.25" thickBot="1">
      <c r="A187" s="146"/>
      <c r="B187" s="146"/>
      <c r="C187" s="839" t="s">
        <v>317</v>
      </c>
      <c r="D187" s="554">
        <f>ExchangeRate*Test!$E$26*200</f>
        <v>5</v>
      </c>
      <c r="E187" s="555">
        <f>ExchangeRate*Test!$E$26*120</f>
        <v>3</v>
      </c>
      <c r="F187" s="556">
        <f>ExchangeRate*Test!$E$26*5</f>
        <v>0.125</v>
      </c>
      <c r="G187" s="146"/>
      <c r="H187" s="146"/>
      <c r="I187" s="682"/>
      <c r="J187" s="146"/>
      <c r="K187" s="146"/>
      <c r="L187" s="146"/>
      <c r="M187" s="146"/>
    </row>
    <row r="188" spans="1:13" s="12" customFormat="1" ht="15" thickBot="1">
      <c r="A188" s="146"/>
      <c r="B188" s="146"/>
      <c r="C188" s="702" t="s">
        <v>318</v>
      </c>
      <c r="D188" s="557">
        <f>D186+D187</f>
        <v>14.200297843925801</v>
      </c>
      <c r="E188" s="558">
        <f>E186+E187</f>
        <v>9.9002233829443522</v>
      </c>
      <c r="F188" s="558">
        <f>F186+F187</f>
        <v>18.525595687851602</v>
      </c>
      <c r="G188" s="146"/>
      <c r="H188" s="559"/>
      <c r="I188" s="682"/>
      <c r="J188" s="559"/>
      <c r="K188" s="146"/>
      <c r="L188" s="146"/>
      <c r="M188" s="146"/>
    </row>
    <row r="189" spans="1:13" s="12" customFormat="1" ht="15" thickTop="1">
      <c r="A189" s="146"/>
      <c r="B189" s="146"/>
      <c r="C189" s="135" t="str">
        <f>C164</f>
        <v>Total Cost</v>
      </c>
      <c r="D189" s="560">
        <f>D188*D183</f>
        <v>3908.1958927684782</v>
      </c>
      <c r="E189" s="550">
        <f>E188*E183</f>
        <v>5449.4649039018759</v>
      </c>
      <c r="F189" s="550">
        <f>F188*F183</f>
        <v>20394.405180542315</v>
      </c>
      <c r="G189" s="550">
        <f>SUM(D189:F189)</f>
        <v>29752.065977212667</v>
      </c>
      <c r="H189" s="146"/>
      <c r="I189" s="687"/>
      <c r="J189" s="146"/>
      <c r="K189" s="146"/>
      <c r="L189" s="146"/>
      <c r="M189" s="146"/>
    </row>
    <row r="190" spans="1:13" s="12" customFormat="1">
      <c r="A190" s="146"/>
      <c r="B190" s="146"/>
      <c r="C190" s="146"/>
      <c r="D190" s="146"/>
      <c r="E190" s="146"/>
      <c r="F190" s="146"/>
      <c r="G190" s="146"/>
      <c r="H190" s="146"/>
      <c r="I190" s="146"/>
      <c r="J190" s="146"/>
      <c r="K190" s="146"/>
      <c r="L190" s="146"/>
      <c r="M190" s="146"/>
    </row>
    <row r="191" spans="1:13">
      <c r="A191" s="146"/>
      <c r="B191" s="750" t="str">
        <f>CopyRight</f>
        <v>©AnalysisPlace.  www.analysisplace.com</v>
      </c>
      <c r="C191" s="750"/>
      <c r="D191" s="750"/>
      <c r="E191" s="750"/>
      <c r="F191" s="750"/>
      <c r="G191" s="146"/>
      <c r="H191" s="146"/>
      <c r="I191" s="146"/>
      <c r="J191" s="146"/>
      <c r="K191" s="146"/>
      <c r="L191" s="146"/>
      <c r="M191" s="146"/>
    </row>
    <row r="192" spans="1:13">
      <c r="A192" s="100" t="s">
        <v>164</v>
      </c>
      <c r="B192" s="146"/>
      <c r="C192" s="146"/>
      <c r="D192" s="146"/>
      <c r="E192" s="146"/>
      <c r="F192" s="146"/>
      <c r="G192" s="146"/>
      <c r="H192" s="146"/>
      <c r="I192" s="146"/>
      <c r="J192" s="146"/>
      <c r="K192" s="146"/>
      <c r="L192" s="146"/>
      <c r="M192" s="146"/>
    </row>
  </sheetData>
  <sheetProtection selectLockedCells="1"/>
  <mergeCells count="13">
    <mergeCell ref="B3:I3"/>
    <mergeCell ref="D5:F5"/>
    <mergeCell ref="G5:I5"/>
    <mergeCell ref="B191:F191"/>
    <mergeCell ref="D33:F33"/>
    <mergeCell ref="G33:I33"/>
    <mergeCell ref="F169:G169"/>
    <mergeCell ref="F78:G78"/>
    <mergeCell ref="E117:F117"/>
    <mergeCell ref="E135:F135"/>
    <mergeCell ref="B167:I167"/>
    <mergeCell ref="B115:I115"/>
    <mergeCell ref="B77:I77"/>
  </mergeCells>
  <pageMargins left="0.7" right="0.7" top="0.75" bottom="0.75" header="0.3" footer="0.3"/>
  <pageSetup scale="60" fitToHeight="100" orientation="portrait" horizontalDpi="300" verticalDpi="300" r:id="rId1"/>
  <headerFooter>
    <oddHeader>&amp;CAnalysisPlace.com   IT Project ROI and Business Case Toolkit</oddHeader>
    <oddFooter>&amp;L&amp;A&amp;C&amp;F&amp;R&amp;P of &amp;N</oddFooter>
  </headerFooter>
  <rowBreaks count="2" manualBreakCount="2">
    <brk id="75" max="9" man="1"/>
    <brk id="133"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00FF"/>
  </sheetPr>
  <dimension ref="A1:AF196"/>
  <sheetViews>
    <sheetView showGridLines="0" workbookViewId="0" xr3:uid="{F9CF3CF3-643B-5BE6-8B46-32C596A47465}"/>
  </sheetViews>
  <sheetFormatPr defaultColWidth="9.140625" defaultRowHeight="12.75"/>
  <cols>
    <col min="1" max="1" width="3.140625" customWidth="1"/>
    <col min="2" max="2" width="3.28515625" customWidth="1"/>
    <col min="3" max="3" width="25.85546875" customWidth="1"/>
    <col min="4" max="4" width="34.7109375" customWidth="1"/>
    <col min="5" max="10" width="11.5703125" customWidth="1"/>
    <col min="11" max="11" width="19.140625" customWidth="1"/>
    <col min="12" max="12" width="0.85546875" customWidth="1"/>
    <col min="13" max="13" width="1.7109375" customWidth="1"/>
  </cols>
  <sheetData>
    <row r="1" spans="1:32" s="75" customFormat="1" ht="37.5" customHeight="1">
      <c r="A1" s="419"/>
      <c r="B1" s="420" t="s">
        <v>165</v>
      </c>
      <c r="C1" s="419"/>
      <c r="D1" s="419"/>
      <c r="E1" s="419"/>
      <c r="F1" s="419"/>
      <c r="G1" s="419"/>
      <c r="H1" s="419"/>
      <c r="I1" s="419"/>
      <c r="J1" s="419"/>
      <c r="K1" s="419"/>
      <c r="L1" s="419"/>
      <c r="M1" s="419"/>
      <c r="N1" s="100" t="s">
        <v>0</v>
      </c>
      <c r="O1" s="398"/>
      <c r="P1" s="398"/>
      <c r="Q1" s="398"/>
      <c r="R1" s="398"/>
      <c r="S1" s="398"/>
      <c r="T1" s="398"/>
      <c r="U1" s="398"/>
      <c r="V1" s="398"/>
      <c r="W1" s="398"/>
      <c r="X1" s="398"/>
      <c r="Y1" s="398"/>
      <c r="Z1" s="398"/>
      <c r="AA1" s="398"/>
      <c r="AB1" s="398"/>
      <c r="AC1" s="398"/>
      <c r="AD1" s="398"/>
      <c r="AE1" s="398"/>
      <c r="AF1" s="398"/>
    </row>
    <row r="2" spans="1:32" ht="27">
      <c r="A2" s="4" t="s">
        <v>336</v>
      </c>
      <c r="B2" s="146"/>
      <c r="C2" s="146"/>
      <c r="D2" s="146"/>
      <c r="E2" s="146"/>
      <c r="F2" s="146"/>
      <c r="G2" s="146"/>
      <c r="H2" s="146"/>
      <c r="I2" s="146"/>
      <c r="J2" s="146"/>
      <c r="K2" s="147"/>
      <c r="L2" s="398"/>
      <c r="M2" s="398"/>
      <c r="N2" s="398"/>
      <c r="O2" s="398"/>
      <c r="P2" s="398"/>
      <c r="Q2" s="398"/>
      <c r="R2" s="398"/>
      <c r="S2" s="398"/>
      <c r="T2" s="398"/>
      <c r="U2" s="398"/>
      <c r="V2" s="398"/>
      <c r="W2" s="398"/>
      <c r="X2" s="398"/>
      <c r="Y2" s="398"/>
      <c r="Z2" s="398"/>
      <c r="AA2" s="398"/>
      <c r="AB2" s="398"/>
      <c r="AC2" s="398"/>
      <c r="AD2" s="398"/>
      <c r="AE2" s="398"/>
      <c r="AF2" s="398"/>
    </row>
    <row r="3" spans="1:32" s="75" customFormat="1" ht="51" customHeight="1">
      <c r="A3" s="4"/>
      <c r="B3" s="785" t="s">
        <v>337</v>
      </c>
      <c r="C3" s="785"/>
      <c r="D3" s="785"/>
      <c r="E3" s="785"/>
      <c r="F3" s="785"/>
      <c r="G3" s="785"/>
      <c r="H3" s="785"/>
      <c r="I3" s="785"/>
      <c r="J3" s="785"/>
      <c r="K3" s="785"/>
      <c r="L3" s="398"/>
      <c r="M3" s="398"/>
      <c r="N3" s="398"/>
      <c r="O3" s="398"/>
      <c r="P3" s="398"/>
      <c r="Q3" s="398"/>
      <c r="R3" s="398"/>
      <c r="S3" s="398"/>
      <c r="T3" s="398"/>
      <c r="U3" s="398"/>
      <c r="V3" s="398"/>
      <c r="W3" s="398"/>
      <c r="X3" s="398"/>
      <c r="Y3" s="398"/>
      <c r="Z3" s="398"/>
      <c r="AA3" s="398"/>
      <c r="AB3" s="398"/>
      <c r="AC3" s="398"/>
      <c r="AD3" s="398"/>
      <c r="AE3" s="398"/>
      <c r="AF3" s="398"/>
    </row>
    <row r="4" spans="1:32" ht="44.25" customHeight="1">
      <c r="A4" s="146"/>
      <c r="B4" s="784" t="s">
        <v>338</v>
      </c>
      <c r="C4" s="784"/>
      <c r="D4" s="784"/>
      <c r="E4" s="784"/>
      <c r="F4" s="784"/>
      <c r="G4" s="784"/>
      <c r="H4" s="784"/>
      <c r="I4" s="784"/>
      <c r="J4" s="784"/>
      <c r="K4" s="784"/>
      <c r="L4" s="398"/>
      <c r="M4" s="398"/>
      <c r="N4" s="398"/>
      <c r="O4" s="398"/>
      <c r="P4" s="398"/>
      <c r="Q4" s="398"/>
      <c r="R4" s="398"/>
      <c r="S4" s="398"/>
      <c r="T4" s="398"/>
      <c r="U4" s="398"/>
      <c r="V4" s="398"/>
      <c r="W4" s="398"/>
      <c r="X4" s="398"/>
      <c r="Y4" s="398"/>
      <c r="Z4" s="398"/>
      <c r="AA4" s="398"/>
      <c r="AB4" s="398"/>
      <c r="AC4" s="398"/>
      <c r="AD4" s="398"/>
      <c r="AE4" s="398"/>
      <c r="AF4" s="398"/>
    </row>
    <row r="5" spans="1:32" ht="22.5">
      <c r="A5" s="3" t="s">
        <v>339</v>
      </c>
      <c r="B5" s="146"/>
      <c r="C5" s="146"/>
      <c r="D5" s="146"/>
      <c r="E5" s="146"/>
      <c r="F5" s="146"/>
      <c r="G5" s="146"/>
      <c r="H5" s="146"/>
      <c r="I5" s="146"/>
      <c r="J5" s="146"/>
      <c r="K5" s="147"/>
      <c r="L5" s="398"/>
      <c r="M5" s="398"/>
      <c r="N5" s="398"/>
      <c r="O5" s="398"/>
      <c r="P5" s="398"/>
      <c r="Q5" s="398"/>
      <c r="R5" s="398"/>
      <c r="S5" s="398"/>
      <c r="T5" s="398"/>
      <c r="U5" s="398"/>
      <c r="V5" s="398"/>
      <c r="W5" s="398"/>
      <c r="X5" s="398"/>
      <c r="Y5" s="398"/>
      <c r="Z5" s="398"/>
      <c r="AA5" s="398"/>
      <c r="AB5" s="398"/>
      <c r="AC5" s="398"/>
      <c r="AD5" s="398"/>
      <c r="AE5" s="398"/>
      <c r="AF5" s="398"/>
    </row>
    <row r="6" spans="1:32" s="75" customFormat="1" ht="14.25">
      <c r="A6" s="146"/>
      <c r="B6" s="146"/>
      <c r="C6" s="146"/>
      <c r="D6" s="146"/>
      <c r="E6" s="146"/>
      <c r="F6" s="671" t="s">
        <v>340</v>
      </c>
      <c r="G6" s="671" t="s">
        <v>341</v>
      </c>
      <c r="H6" s="671" t="s">
        <v>342</v>
      </c>
      <c r="I6" s="671" t="s">
        <v>343</v>
      </c>
      <c r="J6" s="146"/>
      <c r="K6" s="147"/>
      <c r="L6" s="398"/>
      <c r="M6" s="398"/>
      <c r="N6" s="398"/>
      <c r="O6" s="398"/>
      <c r="P6" s="398"/>
      <c r="Q6" s="398"/>
      <c r="R6" s="398"/>
      <c r="S6" s="398"/>
      <c r="T6" s="398"/>
      <c r="U6" s="398"/>
      <c r="V6" s="398"/>
      <c r="W6" s="398"/>
      <c r="X6" s="398"/>
      <c r="Y6" s="398"/>
      <c r="Z6" s="398"/>
      <c r="AA6" s="398"/>
      <c r="AB6" s="398"/>
      <c r="AC6" s="398"/>
      <c r="AD6" s="398"/>
      <c r="AE6" s="398"/>
      <c r="AF6" s="398"/>
    </row>
    <row r="7" spans="1:32" s="75" customFormat="1" ht="15.75" thickBot="1">
      <c r="A7" s="398"/>
      <c r="B7" s="6" t="s">
        <v>344</v>
      </c>
      <c r="C7" s="398"/>
      <c r="D7" s="398"/>
      <c r="E7" s="398"/>
      <c r="F7" s="398"/>
      <c r="G7" s="398"/>
      <c r="H7" s="398"/>
      <c r="I7" s="398"/>
      <c r="J7" s="398"/>
      <c r="K7" s="398"/>
      <c r="L7" s="398"/>
      <c r="M7" s="398"/>
      <c r="N7" s="398"/>
      <c r="O7" s="398"/>
      <c r="P7" s="398"/>
      <c r="Q7" s="398"/>
      <c r="R7" s="398"/>
      <c r="S7" s="398"/>
      <c r="T7" s="398"/>
      <c r="U7" s="398"/>
      <c r="V7" s="398"/>
      <c r="W7" s="398"/>
      <c r="X7" s="398"/>
      <c r="Y7" s="398"/>
      <c r="Z7" s="398"/>
      <c r="AA7" s="398"/>
      <c r="AB7" s="398"/>
      <c r="AC7" s="398"/>
      <c r="AD7" s="398"/>
      <c r="AE7" s="398"/>
      <c r="AF7" s="398"/>
    </row>
    <row r="8" spans="1:32" s="75" customFormat="1" ht="13.5" thickBot="1">
      <c r="A8" s="398"/>
      <c r="B8" s="398"/>
      <c r="C8" s="87" t="s">
        <v>345</v>
      </c>
      <c r="D8" s="88"/>
      <c r="E8" s="88"/>
      <c r="F8" s="565">
        <f>ITSpendDefault</f>
        <v>41531.000664562191</v>
      </c>
      <c r="G8" s="566">
        <f>G10*PCUsers/1000</f>
        <v>41264.871730970714</v>
      </c>
      <c r="H8" s="697">
        <f>F8-G8</f>
        <v>266.12893359147711</v>
      </c>
      <c r="I8" s="149">
        <f>H8/F8</f>
        <v>6.4079586172495267E-3</v>
      </c>
      <c r="J8" s="398"/>
      <c r="K8" s="398"/>
      <c r="L8" s="398"/>
      <c r="M8" s="398"/>
      <c r="N8" s="398"/>
      <c r="O8" s="398"/>
      <c r="P8" s="398"/>
      <c r="Q8" s="398"/>
      <c r="R8" s="398"/>
      <c r="S8" s="398"/>
      <c r="T8" s="398"/>
      <c r="U8" s="398"/>
      <c r="V8" s="398"/>
      <c r="W8" s="398"/>
      <c r="X8" s="398"/>
      <c r="Y8" s="398"/>
      <c r="Z8" s="398"/>
      <c r="AA8" s="398"/>
      <c r="AB8" s="398"/>
      <c r="AC8" s="398"/>
      <c r="AD8" s="398"/>
      <c r="AE8" s="398"/>
      <c r="AF8" s="398"/>
    </row>
    <row r="9" spans="1:32" s="75" customFormat="1" ht="12.75" customHeight="1">
      <c r="A9" s="398"/>
      <c r="B9" s="398"/>
      <c r="C9" s="87" t="s">
        <v>346</v>
      </c>
      <c r="D9" s="88"/>
      <c r="E9" s="88"/>
      <c r="F9" s="699">
        <f>ITSpend/Employees*1000</f>
        <v>8306.2001329124396</v>
      </c>
      <c r="G9" s="539">
        <f>G8/Employees*1000</f>
        <v>8252.9743461941416</v>
      </c>
      <c r="H9" s="697">
        <f>F9-G9</f>
        <v>53.225786718297968</v>
      </c>
      <c r="I9" s="149">
        <f>H9/F9</f>
        <v>6.407958617249832E-3</v>
      </c>
      <c r="J9" s="398"/>
      <c r="K9" s="398"/>
      <c r="L9" s="398"/>
      <c r="M9" s="398"/>
      <c r="N9" s="398"/>
      <c r="O9" s="398"/>
      <c r="P9" s="398"/>
      <c r="Q9" s="398"/>
      <c r="R9" s="398"/>
      <c r="S9" s="398"/>
      <c r="T9" s="398"/>
      <c r="U9" s="398"/>
      <c r="V9" s="398"/>
      <c r="W9" s="398"/>
      <c r="X9" s="398"/>
      <c r="Y9" s="398"/>
      <c r="Z9" s="398"/>
      <c r="AA9" s="398"/>
      <c r="AB9" s="398"/>
      <c r="AC9" s="398"/>
      <c r="AD9" s="398"/>
      <c r="AE9" s="398"/>
      <c r="AF9" s="398"/>
    </row>
    <row r="10" spans="1:32" s="75" customFormat="1" ht="12.75" customHeight="1">
      <c r="A10" s="398"/>
      <c r="B10" s="398"/>
      <c r="C10" s="87" t="s">
        <v>347</v>
      </c>
      <c r="D10" s="88"/>
      <c r="E10" s="88"/>
      <c r="F10" s="539">
        <f>ITSpend*1000/PCUsers</f>
        <v>15090.148891571962</v>
      </c>
      <c r="G10" s="539">
        <f>I27</f>
        <v>14993.451841946635</v>
      </c>
      <c r="H10" s="539">
        <f>F10-G10</f>
        <v>96.697049625327054</v>
      </c>
      <c r="I10" s="149">
        <f>H10/F10</f>
        <v>6.4079586172495337E-3</v>
      </c>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row>
    <row r="11" spans="1:32" s="75" customFormat="1" ht="12.75" customHeight="1">
      <c r="A11" s="398"/>
      <c r="B11" s="398"/>
      <c r="C11" s="90" t="s">
        <v>348</v>
      </c>
      <c r="D11" s="88"/>
      <c r="E11" s="88"/>
      <c r="F11" s="149">
        <f>F8/1000/((1-Margin)*Revenue)</f>
        <v>2.241125333002783E-2</v>
      </c>
      <c r="G11" s="149">
        <f>G8/1000/((1-Margin)*Revenue)</f>
        <v>2.2267642946128315E-2</v>
      </c>
      <c r="H11" s="149">
        <f>F11-G11</f>
        <v>1.4361038389951522E-4</v>
      </c>
      <c r="I11" s="149">
        <f>H11/F11</f>
        <v>6.4079586172495814E-3</v>
      </c>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row>
    <row r="12" spans="1:32" s="75" customFormat="1" ht="25.5">
      <c r="A12" s="398"/>
      <c r="B12" s="398"/>
      <c r="C12" s="87" t="s">
        <v>349</v>
      </c>
      <c r="D12" s="88"/>
      <c r="E12" s="88"/>
      <c r="F12" s="149">
        <f>F8/1000/Revenue</f>
        <v>1.8594553092481987E-2</v>
      </c>
      <c r="G12" s="149">
        <f>G8/1000/Revenue</f>
        <v>1.8475399965759112E-2</v>
      </c>
      <c r="H12" s="149">
        <f>F12-G12</f>
        <v>1.1915312672287556E-4</v>
      </c>
      <c r="I12" s="149">
        <f>H12/F12</f>
        <v>6.4079586172496221E-3</v>
      </c>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row>
    <row r="13" spans="1:32" s="75" customFormat="1" ht="15.75" thickBot="1">
      <c r="A13" s="398"/>
      <c r="B13" s="6" t="s">
        <v>350</v>
      </c>
      <c r="C13" s="398"/>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row>
    <row r="14" spans="1:32" ht="13.5" thickBot="1">
      <c r="A14" s="398"/>
      <c r="B14" s="398"/>
      <c r="C14" s="87" t="s">
        <v>351</v>
      </c>
      <c r="D14" s="88"/>
      <c r="E14" s="88"/>
      <c r="F14" s="486">
        <f>ITStaffDefault</f>
        <v>94.395784792304454</v>
      </c>
      <c r="G14" s="156">
        <f>I91</f>
        <v>93.759557202804331</v>
      </c>
      <c r="H14" s="297">
        <f>F14-G14</f>
        <v>0.63622758950012326</v>
      </c>
      <c r="I14" s="149">
        <f>H14/F14</f>
        <v>6.7399999999999075E-3</v>
      </c>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row>
    <row r="15" spans="1:32" s="75" customFormat="1" ht="12.75" customHeight="1">
      <c r="A15" s="398"/>
      <c r="B15" s="398"/>
      <c r="C15" s="90" t="s">
        <v>352</v>
      </c>
      <c r="D15" s="88"/>
      <c r="E15" s="88"/>
      <c r="F15" s="157">
        <f>F14/Employees</f>
        <v>1.8879156958460892E-2</v>
      </c>
      <c r="G15" s="149">
        <f>G14/Employees</f>
        <v>1.8751911440560865E-2</v>
      </c>
      <c r="H15" s="149">
        <f>F15-G15</f>
        <v>1.2724551790002647E-4</v>
      </c>
      <c r="I15" s="149">
        <f>H15/F15</f>
        <v>6.7400000000000029E-3</v>
      </c>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row>
    <row r="16" spans="1:32" ht="12.75" customHeight="1">
      <c r="A16" s="398"/>
      <c r="B16" s="398"/>
      <c r="C16" s="90" t="s">
        <v>353</v>
      </c>
      <c r="D16" s="88"/>
      <c r="E16" s="88"/>
      <c r="F16" s="149">
        <f>F14/PCUsers</f>
        <v>3.4298389744028449E-2</v>
      </c>
      <c r="G16" s="149">
        <f>G14/PCUsers</f>
        <v>3.4067218597153705E-2</v>
      </c>
      <c r="H16" s="149">
        <f>F16-G16</f>
        <v>2.3117114687474377E-4</v>
      </c>
      <c r="I16" s="149">
        <f>H16/F16</f>
        <v>6.7399999999997679E-3</v>
      </c>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row>
    <row r="17" spans="1:32" s="75" customFormat="1" ht="12.75" customHeight="1">
      <c r="A17" s="398"/>
      <c r="B17" s="398"/>
      <c r="C17" s="90" t="s">
        <v>354</v>
      </c>
      <c r="D17" s="88"/>
      <c r="E17" s="88"/>
      <c r="F17" s="297">
        <f>Employees/F14</f>
        <v>52.968466875944884</v>
      </c>
      <c r="G17" s="297">
        <f>Employees/G14</f>
        <v>53.327896901058004</v>
      </c>
      <c r="H17" s="297">
        <f>-F17+G17</f>
        <v>0.35943002511312017</v>
      </c>
      <c r="I17" s="149">
        <f>H17/F17</f>
        <v>6.7857358596941347E-3</v>
      </c>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row>
    <row r="18" spans="1:32">
      <c r="A18" s="398"/>
      <c r="B18" s="398"/>
      <c r="C18" s="90" t="s">
        <v>355</v>
      </c>
      <c r="D18" s="88"/>
      <c r="E18" s="88"/>
      <c r="F18" s="297">
        <f>PCUsers/F14</f>
        <v>29.155887709687764</v>
      </c>
      <c r="G18" s="297">
        <f>PCUsers/G14</f>
        <v>29.353731862440611</v>
      </c>
      <c r="H18" s="297">
        <f>-F18+G18</f>
        <v>0.19784415275284672</v>
      </c>
      <c r="I18" s="149">
        <f>H18/F18</f>
        <v>6.7857358596942361E-3</v>
      </c>
      <c r="J18" s="398"/>
      <c r="K18" s="398"/>
      <c r="L18" s="398"/>
      <c r="M18" s="398"/>
      <c r="N18" s="398"/>
      <c r="O18" s="398"/>
      <c r="P18" s="398"/>
      <c r="Q18" s="398"/>
      <c r="R18" s="398"/>
      <c r="S18" s="398"/>
      <c r="T18" s="398"/>
      <c r="U18" s="398"/>
      <c r="V18" s="398"/>
      <c r="W18" s="398"/>
      <c r="X18" s="398"/>
      <c r="Y18" s="398"/>
      <c r="Z18" s="398"/>
      <c r="AA18" s="398"/>
      <c r="AB18" s="398"/>
      <c r="AC18" s="398"/>
      <c r="AD18" s="398"/>
      <c r="AE18" s="398"/>
      <c r="AF18" s="398"/>
    </row>
    <row r="19" spans="1:32">
      <c r="A19" s="398"/>
      <c r="B19" s="398"/>
      <c r="C19" s="398"/>
      <c r="D19" s="398"/>
      <c r="E19" s="398"/>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row>
    <row r="20" spans="1:32" s="75" customFormat="1" ht="22.5">
      <c r="A20" s="3" t="s">
        <v>356</v>
      </c>
      <c r="B20" s="398"/>
      <c r="C20" s="398"/>
      <c r="D20" s="398"/>
      <c r="E20" s="398"/>
      <c r="F20" s="398"/>
      <c r="G20" s="835" t="s">
        <v>357</v>
      </c>
      <c r="H20" s="835"/>
      <c r="I20" s="835"/>
      <c r="J20" s="835"/>
      <c r="K20" s="398"/>
      <c r="L20" s="398"/>
      <c r="M20" s="398"/>
      <c r="N20" s="398"/>
      <c r="O20" s="398"/>
      <c r="P20" s="398"/>
      <c r="Q20" s="398"/>
      <c r="R20" s="398"/>
      <c r="S20" s="398"/>
      <c r="T20" s="398"/>
      <c r="U20" s="398"/>
      <c r="V20" s="398"/>
      <c r="W20" s="398"/>
      <c r="X20" s="398"/>
      <c r="Y20" s="398"/>
      <c r="Z20" s="398"/>
      <c r="AA20" s="398"/>
      <c r="AB20" s="398"/>
      <c r="AC20" s="398"/>
      <c r="AD20" s="398"/>
      <c r="AE20" s="398"/>
      <c r="AF20" s="398"/>
    </row>
    <row r="21" spans="1:32" s="75" customFormat="1" ht="39" thickBot="1">
      <c r="A21" s="398"/>
      <c r="B21" s="6"/>
      <c r="C21" s="148"/>
      <c r="D21" s="398"/>
      <c r="E21" s="686" t="s">
        <v>358</v>
      </c>
      <c r="F21" s="671" t="s">
        <v>359</v>
      </c>
      <c r="G21" s="671" t="s">
        <v>340</v>
      </c>
      <c r="H21" s="671" t="s">
        <v>360</v>
      </c>
      <c r="I21" s="671" t="s">
        <v>341</v>
      </c>
      <c r="J21" s="671" t="s">
        <v>342</v>
      </c>
      <c r="K21" s="686" t="s">
        <v>246</v>
      </c>
      <c r="L21" s="398"/>
      <c r="M21" s="398"/>
      <c r="N21" s="398"/>
      <c r="O21" s="398"/>
      <c r="P21" s="398"/>
      <c r="Q21" s="398"/>
      <c r="R21" s="398"/>
      <c r="S21" s="398"/>
      <c r="T21" s="398"/>
      <c r="U21" s="398"/>
      <c r="V21" s="398"/>
      <c r="W21" s="398"/>
      <c r="X21" s="398"/>
      <c r="Y21" s="398"/>
      <c r="Z21" s="398"/>
      <c r="AA21" s="398"/>
      <c r="AB21" s="398"/>
      <c r="AC21" s="398"/>
      <c r="AD21" s="398"/>
      <c r="AE21" s="398"/>
      <c r="AF21" s="398"/>
    </row>
    <row r="22" spans="1:32" s="75" customFormat="1" ht="22.5">
      <c r="A22" s="398"/>
      <c r="B22" s="398"/>
      <c r="C22" s="700" t="str">
        <f>B51</f>
        <v>Hardware</v>
      </c>
      <c r="D22" s="140" t="s">
        <v>361</v>
      </c>
      <c r="E22" s="444">
        <f>SpendHWDefault*(1-$E$24)</f>
        <v>0.13933591088188252</v>
      </c>
      <c r="F22" s="567">
        <f>E22*F$27</f>
        <v>5786.7598074328407</v>
      </c>
      <c r="G22" s="568">
        <f>F22*1000/PCUsers</f>
        <v>2102.5996411504093</v>
      </c>
      <c r="H22" s="149">
        <f>H57</f>
        <v>8.4999999999999989E-3</v>
      </c>
      <c r="I22" s="569">
        <f>G22-J22</f>
        <v>2084.7275442006307</v>
      </c>
      <c r="J22" s="570">
        <f>G22*H22</f>
        <v>17.872096949778477</v>
      </c>
      <c r="K22" s="487"/>
      <c r="L22" s="398"/>
      <c r="M22" s="398"/>
      <c r="N22" s="398"/>
      <c r="O22" s="398"/>
      <c r="P22" s="398"/>
      <c r="Q22" s="398"/>
      <c r="R22" s="398"/>
      <c r="S22" s="398"/>
      <c r="T22" s="398"/>
      <c r="U22" s="398"/>
      <c r="V22" s="398"/>
      <c r="W22" s="398"/>
      <c r="X22" s="398"/>
      <c r="Y22" s="398"/>
      <c r="Z22" s="398"/>
      <c r="AA22" s="398"/>
      <c r="AB22" s="398"/>
      <c r="AC22" s="398"/>
      <c r="AD22" s="398"/>
      <c r="AE22" s="398"/>
      <c r="AF22" s="398"/>
    </row>
    <row r="23" spans="1:32" s="75" customFormat="1" ht="23.25" thickBot="1">
      <c r="A23" s="398"/>
      <c r="B23" s="108"/>
      <c r="C23" s="700" t="str">
        <f>B58</f>
        <v>Software</v>
      </c>
      <c r="D23" s="140" t="s">
        <v>362</v>
      </c>
      <c r="E23" s="488">
        <f>SpendSWDefault*(1-$E$24)</f>
        <v>0.17149035185462463</v>
      </c>
      <c r="F23" s="567">
        <f>E23*F$27</f>
        <v>7122.1659168404194</v>
      </c>
      <c r="G23" s="568">
        <f>F23*1000/PCUsers</f>
        <v>2587.8149429543496</v>
      </c>
      <c r="H23" s="149">
        <f>H64</f>
        <v>6.6050000000000006E-3</v>
      </c>
      <c r="I23" s="569">
        <f>G23-J23</f>
        <v>2570.7224252561359</v>
      </c>
      <c r="J23" s="570">
        <f>G23*H23</f>
        <v>17.092517698213481</v>
      </c>
      <c r="K23" s="489"/>
      <c r="L23" s="398"/>
      <c r="M23" s="398"/>
      <c r="N23" s="398"/>
      <c r="O23" s="398"/>
      <c r="P23" s="398"/>
      <c r="Q23" s="398"/>
      <c r="R23" s="398"/>
      <c r="S23" s="398"/>
      <c r="T23" s="398"/>
      <c r="U23" s="398"/>
      <c r="V23" s="398"/>
      <c r="W23" s="398"/>
      <c r="X23" s="398"/>
      <c r="Y23" s="398"/>
      <c r="Z23" s="398"/>
      <c r="AA23" s="398"/>
      <c r="AB23" s="398"/>
      <c r="AC23" s="398"/>
      <c r="AD23" s="398"/>
      <c r="AE23" s="398"/>
      <c r="AF23" s="398"/>
    </row>
    <row r="24" spans="1:32" s="75" customFormat="1" ht="57" thickBot="1">
      <c r="A24" s="398"/>
      <c r="B24" s="108"/>
      <c r="C24" s="700" t="str">
        <f>A79</f>
        <v>Internal IT Staff</v>
      </c>
      <c r="D24" s="150" t="s">
        <v>363</v>
      </c>
      <c r="E24" s="142">
        <f>F24/F27</f>
        <v>0.26044785762693129</v>
      </c>
      <c r="F24" s="569">
        <f>F103</f>
        <v>10816.660148187882</v>
      </c>
      <c r="G24" s="568">
        <f>F24*1000/PCUsers</f>
        <v>3930.1969500813302</v>
      </c>
      <c r="H24" s="149">
        <f>J103/H103</f>
        <v>6.8830319763852899E-3</v>
      </c>
      <c r="I24" s="569">
        <f>G24-J24</f>
        <v>3903.1452788004285</v>
      </c>
      <c r="J24" s="570">
        <f>G24*H24</f>
        <v>27.051671280901736</v>
      </c>
      <c r="K24" s="489"/>
      <c r="L24" s="398"/>
      <c r="M24" s="398"/>
      <c r="N24" s="398"/>
      <c r="O24" s="398"/>
      <c r="P24" s="398"/>
      <c r="Q24" s="398"/>
      <c r="R24" s="398"/>
      <c r="S24" s="398"/>
      <c r="T24" s="398"/>
      <c r="U24" s="398"/>
      <c r="V24" s="398"/>
      <c r="W24" s="398"/>
      <c r="X24" s="398"/>
      <c r="Y24" s="398"/>
      <c r="Z24" s="398"/>
      <c r="AA24" s="398"/>
      <c r="AB24" s="398"/>
      <c r="AC24" s="398"/>
      <c r="AD24" s="398"/>
      <c r="AE24" s="398"/>
      <c r="AF24" s="398"/>
    </row>
    <row r="25" spans="1:32" s="75" customFormat="1" ht="45.75" thickBot="1">
      <c r="A25" s="398"/>
      <c r="B25" s="398"/>
      <c r="C25" s="700" t="str">
        <f>B65</f>
        <v>External IT Services</v>
      </c>
      <c r="D25" s="140" t="s">
        <v>364</v>
      </c>
      <c r="E25" s="443">
        <f>SpendExtSvcsDefault*(1-$E$24)</f>
        <v>0.22508108680919484</v>
      </c>
      <c r="F25" s="567">
        <f>E25*F$27</f>
        <v>9347.8427658530509</v>
      </c>
      <c r="G25" s="568">
        <f>F25*1000/PCUsers</f>
        <v>3396.5071126275843</v>
      </c>
      <c r="H25" s="149">
        <f>H70</f>
        <v>7.9850000000000008E-3</v>
      </c>
      <c r="I25" s="569">
        <f>G25-J25</f>
        <v>3369.386003333253</v>
      </c>
      <c r="J25" s="570">
        <f>G25*H25</f>
        <v>27.121109294331262</v>
      </c>
      <c r="K25" s="489"/>
      <c r="L25" s="398"/>
      <c r="M25" s="398"/>
      <c r="N25" s="398"/>
      <c r="O25" s="398"/>
      <c r="P25" s="398"/>
      <c r="Q25" s="398"/>
      <c r="R25" s="398"/>
      <c r="S25" s="398"/>
      <c r="T25" s="398"/>
      <c r="U25" s="398"/>
      <c r="V25" s="398"/>
      <c r="W25" s="398"/>
      <c r="X25" s="398"/>
      <c r="Y25" s="398"/>
      <c r="Z25" s="398"/>
      <c r="AA25" s="398"/>
      <c r="AB25" s="398"/>
      <c r="AC25" s="398"/>
      <c r="AD25" s="398"/>
      <c r="AE25" s="398"/>
      <c r="AF25" s="398"/>
    </row>
    <row r="26" spans="1:32" s="75" customFormat="1" ht="34.5" thickBot="1">
      <c r="A26" s="398"/>
      <c r="B26" s="398"/>
      <c r="C26" s="700" t="str">
        <f>B72</f>
        <v>Telecom / Networking</v>
      </c>
      <c r="D26" s="150" t="s">
        <v>365</v>
      </c>
      <c r="E26" s="141">
        <f>1-SUM(E22:E25)</f>
        <v>0.20364479282736681</v>
      </c>
      <c r="F26" s="569">
        <f>E26*F$27</f>
        <v>8457.5720262480008</v>
      </c>
      <c r="G26" s="568">
        <f>F26*1000/PCUsers</f>
        <v>3073.0302447582912</v>
      </c>
      <c r="H26" s="149">
        <f>H77</f>
        <v>2.4599999999999999E-3</v>
      </c>
      <c r="I26" s="569">
        <f>G26-J26</f>
        <v>3065.4705903561858</v>
      </c>
      <c r="J26" s="570">
        <f>G26*H26</f>
        <v>7.5596544021053962</v>
      </c>
      <c r="K26" s="490"/>
      <c r="L26" s="398"/>
      <c r="M26" s="398"/>
      <c r="N26" s="398"/>
      <c r="O26" s="398"/>
      <c r="P26" s="398"/>
      <c r="Q26" s="398"/>
      <c r="R26" s="398"/>
      <c r="S26" s="398"/>
      <c r="T26" s="398"/>
      <c r="U26" s="398"/>
      <c r="V26" s="398"/>
      <c r="W26" s="398"/>
      <c r="X26" s="398"/>
      <c r="Y26" s="398"/>
      <c r="Z26" s="398"/>
      <c r="AA26" s="398"/>
      <c r="AB26" s="398"/>
      <c r="AC26" s="398"/>
      <c r="AD26" s="398"/>
      <c r="AE26" s="398"/>
      <c r="AF26" s="398"/>
    </row>
    <row r="27" spans="1:32" s="75" customFormat="1" ht="13.5" thickTop="1">
      <c r="A27" s="398"/>
      <c r="B27" s="398"/>
      <c r="C27" s="151" t="str">
        <f>C105</f>
        <v>Total IT Spending</v>
      </c>
      <c r="D27" s="639"/>
      <c r="E27" s="152">
        <f>SUM(E22:E26)</f>
        <v>1</v>
      </c>
      <c r="F27" s="571">
        <f>F8</f>
        <v>41531.000664562191</v>
      </c>
      <c r="G27" s="571">
        <f>SUM(G22:G26)</f>
        <v>15090.148891571964</v>
      </c>
      <c r="H27" s="91">
        <f>J27/G27</f>
        <v>6.4079586172497514E-3</v>
      </c>
      <c r="I27" s="571">
        <f>SUM(I22:I26)</f>
        <v>14993.451841946635</v>
      </c>
      <c r="J27" s="571">
        <f>SUM(J22:J26)</f>
        <v>96.697049625330351</v>
      </c>
      <c r="K27" s="398"/>
      <c r="L27" s="398"/>
      <c r="M27" s="398"/>
      <c r="N27" s="398"/>
      <c r="O27" s="398"/>
      <c r="P27" s="398"/>
      <c r="Q27" s="398"/>
      <c r="R27" s="398"/>
      <c r="S27" s="398"/>
      <c r="T27" s="398"/>
      <c r="U27" s="398"/>
      <c r="V27" s="398"/>
      <c r="W27" s="398"/>
      <c r="X27" s="398"/>
      <c r="Y27" s="398"/>
      <c r="Z27" s="398"/>
      <c r="AA27" s="398"/>
      <c r="AB27" s="398"/>
      <c r="AC27" s="398"/>
      <c r="AD27" s="398"/>
      <c r="AE27" s="398"/>
      <c r="AF27" s="398"/>
    </row>
    <row r="28" spans="1:32" s="75" customFormat="1">
      <c r="A28" s="398"/>
      <c r="B28" s="398"/>
      <c r="C28" s="398"/>
      <c r="D28" s="639"/>
      <c r="E28" s="398"/>
      <c r="F28" s="398"/>
      <c r="G28" s="398"/>
      <c r="H28" s="398"/>
      <c r="I28" s="398"/>
      <c r="J28" s="398"/>
      <c r="K28" s="398"/>
      <c r="L28" s="398"/>
      <c r="M28" s="398"/>
      <c r="N28" s="398"/>
      <c r="O28" s="398"/>
      <c r="P28" s="398"/>
      <c r="Q28" s="398"/>
      <c r="R28" s="398"/>
      <c r="S28" s="398"/>
      <c r="T28" s="398"/>
      <c r="U28" s="398"/>
      <c r="V28" s="398"/>
      <c r="W28" s="398"/>
      <c r="X28" s="398"/>
      <c r="Y28" s="398"/>
      <c r="Z28" s="398"/>
      <c r="AA28" s="398"/>
      <c r="AB28" s="398"/>
      <c r="AC28" s="398"/>
      <c r="AD28" s="398"/>
      <c r="AE28" s="398"/>
      <c r="AF28" s="398"/>
    </row>
    <row r="29" spans="1:32" s="75" customFormat="1">
      <c r="A29" s="398"/>
      <c r="B29" s="398"/>
      <c r="C29" s="398"/>
      <c r="D29" s="639"/>
      <c r="E29" s="398"/>
      <c r="F29" s="398"/>
      <c r="G29" s="398"/>
      <c r="H29" s="398"/>
      <c r="I29" s="398"/>
      <c r="J29" s="398"/>
      <c r="K29" s="398"/>
      <c r="L29" s="398"/>
      <c r="M29" s="398"/>
      <c r="N29" s="37" t="s">
        <v>232</v>
      </c>
      <c r="O29" s="398"/>
      <c r="P29" s="398"/>
      <c r="Q29" s="398"/>
      <c r="R29" s="398"/>
      <c r="S29" s="398"/>
      <c r="T29" s="398"/>
      <c r="U29" s="398"/>
      <c r="V29" s="398"/>
      <c r="W29" s="398"/>
      <c r="X29" s="398"/>
      <c r="Y29" s="398"/>
      <c r="Z29" s="398"/>
      <c r="AA29" s="398"/>
      <c r="AB29" s="398"/>
      <c r="AC29" s="398"/>
      <c r="AD29" s="398"/>
      <c r="AE29" s="398"/>
      <c r="AF29" s="398"/>
    </row>
    <row r="30" spans="1:32" s="75" customFormat="1">
      <c r="A30" s="398"/>
      <c r="B30" s="398"/>
      <c r="C30" s="398"/>
      <c r="D30" s="639"/>
      <c r="E30" s="398"/>
      <c r="F30" s="398"/>
      <c r="G30" s="398"/>
      <c r="H30" s="398"/>
      <c r="I30" s="398"/>
      <c r="J30" s="398"/>
      <c r="K30" s="398"/>
      <c r="L30" s="398"/>
      <c r="M30" s="398"/>
      <c r="N30" s="270" t="s">
        <v>10</v>
      </c>
      <c r="O30" s="181" t="s">
        <v>366</v>
      </c>
      <c r="P30" s="181" t="str">
        <f>O30</f>
        <v>IT Spending (TCO) Summary</v>
      </c>
      <c r="Q30" s="398"/>
      <c r="R30" s="398"/>
      <c r="S30" s="398"/>
      <c r="T30" s="398"/>
      <c r="U30" s="398"/>
      <c r="V30" s="398"/>
      <c r="W30" s="398"/>
      <c r="X30" s="398"/>
      <c r="Y30" s="398"/>
      <c r="Z30" s="398"/>
      <c r="AA30" s="398"/>
      <c r="AB30" s="398"/>
      <c r="AC30" s="398"/>
      <c r="AD30" s="398"/>
      <c r="AE30" s="398"/>
      <c r="AF30" s="398"/>
    </row>
    <row r="31" spans="1:32" s="75" customFormat="1">
      <c r="A31" s="398"/>
      <c r="B31" s="398"/>
      <c r="C31" s="398"/>
      <c r="D31" s="639"/>
      <c r="E31" s="398"/>
      <c r="F31" s="398"/>
      <c r="G31" s="398"/>
      <c r="H31" s="398"/>
      <c r="I31" s="398"/>
      <c r="J31" s="398"/>
      <c r="K31" s="398"/>
      <c r="L31" s="398"/>
      <c r="M31" s="398"/>
      <c r="N31" s="270" t="s">
        <v>235</v>
      </c>
      <c r="O31" s="181" t="s">
        <v>367</v>
      </c>
      <c r="P31" s="181"/>
      <c r="Q31" s="398"/>
      <c r="R31" s="398"/>
      <c r="S31" s="398"/>
      <c r="T31" s="398"/>
      <c r="U31" s="398"/>
      <c r="V31" s="398"/>
      <c r="W31" s="398"/>
      <c r="X31" s="398"/>
      <c r="Y31" s="398"/>
      <c r="Z31" s="398"/>
      <c r="AA31" s="398"/>
      <c r="AB31" s="398"/>
      <c r="AC31" s="398"/>
      <c r="AD31" s="398"/>
      <c r="AE31" s="398"/>
      <c r="AF31" s="398"/>
    </row>
    <row r="32" spans="1:32" s="75" customFormat="1">
      <c r="A32" s="398"/>
      <c r="B32" s="398"/>
      <c r="C32" s="398"/>
      <c r="D32" s="639"/>
      <c r="E32" s="398"/>
      <c r="F32" s="398"/>
      <c r="G32" s="398"/>
      <c r="H32" s="398"/>
      <c r="I32" s="398"/>
      <c r="J32" s="398"/>
      <c r="K32" s="398"/>
      <c r="L32" s="398"/>
      <c r="M32" s="398"/>
      <c r="N32" s="270" t="s">
        <v>238</v>
      </c>
      <c r="O32" s="181"/>
      <c r="P32" s="181"/>
      <c r="Q32" s="398"/>
      <c r="R32" s="398"/>
      <c r="S32" s="398"/>
      <c r="T32" s="398"/>
      <c r="U32" s="398"/>
      <c r="V32" s="398"/>
      <c r="W32" s="398"/>
      <c r="X32" s="398"/>
      <c r="Y32" s="398"/>
      <c r="Z32" s="398"/>
      <c r="AA32" s="398"/>
      <c r="AB32" s="398"/>
      <c r="AC32" s="398"/>
      <c r="AD32" s="398"/>
      <c r="AE32" s="398"/>
      <c r="AF32" s="398"/>
    </row>
    <row r="33" spans="1:32" s="75" customFormat="1">
      <c r="A33" s="398"/>
      <c r="B33" s="398"/>
      <c r="C33" s="398"/>
      <c r="D33" s="639"/>
      <c r="E33" s="398"/>
      <c r="F33" s="398"/>
      <c r="G33" s="398"/>
      <c r="H33" s="398"/>
      <c r="I33" s="398"/>
      <c r="J33" s="398"/>
      <c r="K33" s="398"/>
      <c r="L33" s="398"/>
      <c r="M33" s="398"/>
      <c r="N33" s="77" t="s">
        <v>239</v>
      </c>
      <c r="O33" s="181"/>
      <c r="P33" s="181" t="s">
        <v>367</v>
      </c>
      <c r="Q33" s="398"/>
      <c r="R33" s="398"/>
      <c r="S33" s="398"/>
      <c r="T33" s="398"/>
      <c r="U33" s="398"/>
      <c r="V33" s="398"/>
      <c r="W33" s="398"/>
      <c r="X33" s="398"/>
      <c r="Y33" s="398"/>
      <c r="Z33" s="398"/>
      <c r="AA33" s="398"/>
      <c r="AB33" s="398"/>
      <c r="AC33" s="398"/>
      <c r="AD33" s="398"/>
      <c r="AE33" s="398"/>
      <c r="AF33" s="398"/>
    </row>
    <row r="34" spans="1:32" s="75" customFormat="1">
      <c r="A34" s="398"/>
      <c r="B34" s="398"/>
      <c r="C34" s="398"/>
      <c r="D34" s="639"/>
      <c r="E34" s="398"/>
      <c r="F34" s="398"/>
      <c r="G34" s="398"/>
      <c r="H34" s="398"/>
      <c r="I34" s="398"/>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row>
    <row r="35" spans="1:32" s="75" customFormat="1">
      <c r="A35" s="398"/>
      <c r="B35" s="398"/>
      <c r="C35" s="398"/>
      <c r="D35" s="639"/>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row>
    <row r="36" spans="1:32" s="75" customFormat="1">
      <c r="A36" s="398"/>
      <c r="B36" s="398"/>
      <c r="C36" s="398"/>
      <c r="D36" s="639"/>
      <c r="E36" s="398"/>
      <c r="F36" s="398"/>
      <c r="G36" s="398"/>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row>
    <row r="37" spans="1:32" s="75" customFormat="1">
      <c r="A37" s="398"/>
      <c r="B37" s="398"/>
      <c r="C37" s="398"/>
      <c r="D37" s="639"/>
      <c r="E37" s="398"/>
      <c r="F37" s="398"/>
      <c r="G37" s="398"/>
      <c r="H37" s="398"/>
      <c r="I37" s="398"/>
      <c r="J37" s="398"/>
      <c r="K37" s="398"/>
      <c r="L37" s="398"/>
      <c r="M37" s="398"/>
      <c r="N37" s="398"/>
      <c r="O37" s="398"/>
      <c r="P37" s="398"/>
      <c r="Q37" s="398"/>
      <c r="R37" s="398"/>
      <c r="S37" s="398"/>
      <c r="T37" s="398"/>
      <c r="U37" s="398"/>
      <c r="V37" s="398"/>
      <c r="W37" s="398"/>
      <c r="X37" s="398"/>
      <c r="Y37" s="398"/>
      <c r="Z37" s="398"/>
      <c r="AA37" s="398"/>
      <c r="AB37" s="398"/>
      <c r="AC37" s="398"/>
      <c r="AD37" s="398"/>
      <c r="AE37" s="398"/>
      <c r="AF37" s="398"/>
    </row>
    <row r="38" spans="1:32" s="75" customFormat="1">
      <c r="A38" s="398"/>
      <c r="B38" s="398"/>
      <c r="C38" s="398"/>
      <c r="D38" s="639"/>
      <c r="E38" s="398"/>
      <c r="F38" s="398"/>
      <c r="G38" s="398"/>
      <c r="H38" s="398"/>
      <c r="I38" s="398"/>
      <c r="J38" s="398"/>
      <c r="K38" s="398"/>
      <c r="L38" s="398"/>
      <c r="M38" s="398"/>
      <c r="N38" s="398"/>
      <c r="O38" s="398"/>
      <c r="P38" s="398"/>
      <c r="Q38" s="398"/>
      <c r="R38" s="398"/>
      <c r="S38" s="398"/>
      <c r="T38" s="398"/>
      <c r="U38" s="398"/>
      <c r="V38" s="398"/>
      <c r="W38" s="398"/>
      <c r="X38" s="398"/>
      <c r="Y38" s="398"/>
      <c r="Z38" s="398"/>
      <c r="AA38" s="398"/>
      <c r="AB38" s="398"/>
      <c r="AC38" s="398"/>
      <c r="AD38" s="398"/>
      <c r="AE38" s="398"/>
      <c r="AF38" s="398"/>
    </row>
    <row r="39" spans="1:32" s="75" customFormat="1">
      <c r="A39" s="398"/>
      <c r="B39" s="398"/>
      <c r="C39" s="398"/>
      <c r="D39" s="639"/>
      <c r="E39" s="398"/>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row>
    <row r="40" spans="1:32" s="75" customFormat="1">
      <c r="A40" s="398"/>
      <c r="B40" s="398"/>
      <c r="C40" s="398"/>
      <c r="D40" s="639"/>
      <c r="E40" s="398"/>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row>
    <row r="41" spans="1:32" s="75" customFormat="1">
      <c r="A41" s="398"/>
      <c r="B41" s="398"/>
      <c r="C41" s="398"/>
      <c r="D41" s="639"/>
      <c r="E41" s="398"/>
      <c r="F41" s="398"/>
      <c r="G41" s="398"/>
      <c r="H41" s="398"/>
      <c r="I41" s="398"/>
      <c r="J41" s="398"/>
      <c r="K41" s="398"/>
      <c r="L41" s="398"/>
      <c r="M41" s="398"/>
      <c r="N41" s="398"/>
      <c r="O41" s="398"/>
      <c r="P41" s="398"/>
      <c r="Q41" s="398"/>
      <c r="R41" s="398"/>
      <c r="S41" s="398"/>
      <c r="T41" s="398"/>
      <c r="U41" s="398"/>
      <c r="V41" s="398"/>
      <c r="W41" s="398"/>
      <c r="X41" s="398"/>
      <c r="Y41" s="398"/>
      <c r="Z41" s="398"/>
      <c r="AA41" s="398"/>
      <c r="AB41" s="398"/>
      <c r="AC41" s="398"/>
      <c r="AD41" s="398"/>
      <c r="AE41" s="398"/>
      <c r="AF41" s="398"/>
    </row>
    <row r="42" spans="1:32" s="75" customFormat="1">
      <c r="A42" s="398"/>
      <c r="B42" s="398"/>
      <c r="C42" s="398"/>
      <c r="D42" s="639"/>
      <c r="E42" s="398"/>
      <c r="F42" s="398"/>
      <c r="G42" s="398"/>
      <c r="H42" s="398"/>
      <c r="I42" s="398"/>
      <c r="J42" s="398"/>
      <c r="K42" s="398"/>
      <c r="L42" s="398"/>
      <c r="M42" s="398"/>
      <c r="N42" s="398"/>
      <c r="O42" s="398"/>
      <c r="P42" s="398"/>
      <c r="Q42" s="398"/>
      <c r="R42" s="398"/>
      <c r="S42" s="398"/>
      <c r="T42" s="398"/>
      <c r="U42" s="398"/>
      <c r="V42" s="398"/>
      <c r="W42" s="398"/>
      <c r="X42" s="398"/>
      <c r="Y42" s="398"/>
      <c r="Z42" s="398"/>
      <c r="AA42" s="398"/>
      <c r="AB42" s="398"/>
      <c r="AC42" s="398"/>
      <c r="AD42" s="398"/>
      <c r="AE42" s="398"/>
      <c r="AF42" s="398"/>
    </row>
    <row r="43" spans="1:32" s="75" customFormat="1">
      <c r="A43" s="398"/>
      <c r="B43" s="398"/>
      <c r="C43" s="398"/>
      <c r="D43" s="639"/>
      <c r="E43" s="398"/>
      <c r="F43" s="398"/>
      <c r="G43" s="398"/>
      <c r="H43" s="398"/>
      <c r="I43" s="398"/>
      <c r="J43" s="398"/>
      <c r="K43" s="398"/>
      <c r="L43" s="398"/>
      <c r="M43" s="398"/>
      <c r="N43" s="398"/>
      <c r="O43" s="398"/>
      <c r="P43" s="398"/>
      <c r="Q43" s="398"/>
      <c r="R43" s="398"/>
      <c r="S43" s="398"/>
      <c r="T43" s="398"/>
      <c r="U43" s="398"/>
      <c r="V43" s="398"/>
      <c r="W43" s="398"/>
      <c r="X43" s="398"/>
      <c r="Y43" s="398"/>
      <c r="Z43" s="398"/>
      <c r="AA43" s="398"/>
      <c r="AB43" s="398"/>
      <c r="AC43" s="398"/>
      <c r="AD43" s="398"/>
      <c r="AE43" s="398"/>
      <c r="AF43" s="398"/>
    </row>
    <row r="44" spans="1:32" s="75" customFormat="1">
      <c r="A44" s="398"/>
      <c r="B44" s="398"/>
      <c r="C44" s="398"/>
      <c r="D44" s="639"/>
      <c r="E44" s="398"/>
      <c r="F44" s="398"/>
      <c r="G44" s="398"/>
      <c r="H44" s="398"/>
      <c r="I44" s="398"/>
      <c r="J44" s="398"/>
      <c r="K44" s="398"/>
      <c r="L44" s="398"/>
      <c r="M44" s="398"/>
      <c r="N44" s="398"/>
      <c r="O44" s="398"/>
      <c r="P44" s="398"/>
      <c r="Q44" s="398"/>
      <c r="R44" s="398"/>
      <c r="S44" s="398"/>
      <c r="T44" s="398"/>
      <c r="U44" s="398"/>
      <c r="V44" s="398"/>
      <c r="W44" s="398"/>
      <c r="X44" s="398"/>
      <c r="Y44" s="398"/>
      <c r="Z44" s="398"/>
      <c r="AA44" s="398"/>
      <c r="AB44" s="398"/>
      <c r="AC44" s="398"/>
      <c r="AD44" s="398"/>
      <c r="AE44" s="398"/>
      <c r="AF44" s="398"/>
    </row>
    <row r="45" spans="1:32" s="75" customFormat="1">
      <c r="A45" s="398"/>
      <c r="B45" s="398"/>
      <c r="C45" s="398"/>
      <c r="D45" s="639"/>
      <c r="E45" s="398"/>
      <c r="F45" s="398"/>
      <c r="G45" s="398"/>
      <c r="H45" s="398"/>
      <c r="I45" s="398"/>
      <c r="J45" s="398"/>
      <c r="K45" s="398"/>
      <c r="L45" s="398"/>
      <c r="M45" s="398"/>
      <c r="N45" s="398"/>
      <c r="O45" s="398"/>
      <c r="P45" s="398"/>
      <c r="Q45" s="398"/>
      <c r="R45" s="398"/>
      <c r="S45" s="398"/>
      <c r="T45" s="398"/>
      <c r="U45" s="398"/>
      <c r="V45" s="398"/>
      <c r="W45" s="398"/>
      <c r="X45" s="398"/>
      <c r="Y45" s="398"/>
      <c r="Z45" s="398"/>
      <c r="AA45" s="398"/>
      <c r="AB45" s="398"/>
      <c r="AC45" s="398"/>
      <c r="AD45" s="398"/>
      <c r="AE45" s="398"/>
      <c r="AF45" s="398"/>
    </row>
    <row r="46" spans="1:32" s="75" customFormat="1">
      <c r="A46" s="398"/>
      <c r="B46" s="398"/>
      <c r="C46" s="398"/>
      <c r="D46" s="639"/>
      <c r="E46" s="398"/>
      <c r="F46" s="398"/>
      <c r="G46" s="398"/>
      <c r="H46" s="398"/>
      <c r="I46" s="398"/>
      <c r="J46" s="398"/>
      <c r="K46" s="398"/>
      <c r="L46" s="398"/>
      <c r="M46" s="398"/>
      <c r="N46" s="398"/>
      <c r="O46" s="398"/>
      <c r="P46" s="398"/>
      <c r="Q46" s="398"/>
      <c r="R46" s="398"/>
      <c r="S46" s="398"/>
      <c r="T46" s="398"/>
      <c r="U46" s="398"/>
      <c r="V46" s="398"/>
      <c r="W46" s="398"/>
      <c r="X46" s="398"/>
      <c r="Y46" s="398"/>
      <c r="Z46" s="398"/>
      <c r="AA46" s="398"/>
      <c r="AB46" s="398"/>
      <c r="AC46" s="398"/>
      <c r="AD46" s="398"/>
      <c r="AE46" s="398"/>
      <c r="AF46" s="398"/>
    </row>
    <row r="47" spans="1:32" s="75" customFormat="1">
      <c r="A47" s="398"/>
      <c r="B47" s="398"/>
      <c r="C47" s="398"/>
      <c r="D47" s="639"/>
      <c r="E47" s="398"/>
      <c r="F47" s="398"/>
      <c r="G47" s="398"/>
      <c r="H47" s="398"/>
      <c r="I47" s="398"/>
      <c r="J47" s="398"/>
      <c r="K47" s="398"/>
      <c r="L47" s="398"/>
      <c r="M47" s="398"/>
      <c r="N47" s="398"/>
      <c r="O47" s="398"/>
      <c r="P47" s="398"/>
      <c r="Q47" s="398"/>
      <c r="R47" s="398"/>
      <c r="S47" s="398"/>
      <c r="T47" s="398"/>
      <c r="U47" s="398"/>
      <c r="V47" s="398"/>
      <c r="W47" s="398"/>
      <c r="X47" s="398"/>
      <c r="Y47" s="398"/>
      <c r="Z47" s="398"/>
      <c r="AA47" s="398"/>
      <c r="AB47" s="398"/>
      <c r="AC47" s="398"/>
      <c r="AD47" s="398"/>
      <c r="AE47" s="398"/>
      <c r="AF47" s="398"/>
    </row>
    <row r="48" spans="1:32" s="75" customFormat="1">
      <c r="A48" s="398"/>
      <c r="B48" s="398"/>
      <c r="C48" s="398"/>
      <c r="D48" s="639"/>
      <c r="E48" s="398"/>
      <c r="F48" s="398"/>
      <c r="G48" s="398"/>
      <c r="H48" s="398"/>
      <c r="I48" s="398"/>
      <c r="J48" s="398"/>
      <c r="K48" s="398"/>
      <c r="L48" s="398"/>
      <c r="M48" s="398"/>
      <c r="N48" s="398"/>
      <c r="O48" s="398"/>
      <c r="P48" s="398"/>
      <c r="Q48" s="398"/>
      <c r="R48" s="398"/>
      <c r="S48" s="398"/>
      <c r="T48" s="398"/>
      <c r="U48" s="398"/>
      <c r="V48" s="398"/>
      <c r="W48" s="398"/>
      <c r="X48" s="398"/>
      <c r="Y48" s="398"/>
      <c r="Z48" s="398"/>
      <c r="AA48" s="398"/>
      <c r="AB48" s="398"/>
      <c r="AC48" s="398"/>
      <c r="AD48" s="398"/>
      <c r="AE48" s="398"/>
      <c r="AF48" s="398"/>
    </row>
    <row r="49" spans="1:32" s="75" customFormat="1" ht="22.5">
      <c r="A49" s="3" t="s">
        <v>368</v>
      </c>
      <c r="B49" s="398"/>
      <c r="C49" s="398"/>
      <c r="D49" s="398"/>
      <c r="E49" s="398"/>
      <c r="F49" s="398"/>
      <c r="G49" s="835" t="str">
        <f>G20</f>
        <v>Spending per PC User</v>
      </c>
      <c r="H49" s="835">
        <f>H20</f>
        <v>0</v>
      </c>
      <c r="I49" s="835">
        <f>I20</f>
        <v>0</v>
      </c>
      <c r="J49" s="835">
        <f>J20</f>
        <v>0</v>
      </c>
      <c r="K49" s="398"/>
      <c r="L49" s="398"/>
      <c r="M49" s="398"/>
      <c r="N49" s="398"/>
      <c r="O49" s="398"/>
      <c r="P49" s="398"/>
      <c r="Q49" s="398"/>
      <c r="R49" s="398"/>
      <c r="S49" s="398"/>
      <c r="T49" s="398"/>
      <c r="U49" s="398"/>
      <c r="V49" s="398"/>
      <c r="W49" s="398"/>
      <c r="X49" s="398"/>
      <c r="Y49" s="398"/>
      <c r="Z49" s="398"/>
      <c r="AA49" s="398"/>
      <c r="AB49" s="398"/>
      <c r="AC49" s="398"/>
      <c r="AD49" s="398"/>
      <c r="AE49" s="398"/>
      <c r="AF49" s="398"/>
    </row>
    <row r="50" spans="1:32" s="75" customFormat="1" ht="38.25">
      <c r="A50" s="398"/>
      <c r="B50" s="6"/>
      <c r="C50" s="148"/>
      <c r="D50" s="398"/>
      <c r="E50" s="671" t="str">
        <f>E21</f>
        <v>% of Total*</v>
      </c>
      <c r="F50" s="671" t="str">
        <f t="shared" ref="F50:K50" si="0">F21</f>
        <v>Current Spending (000)</v>
      </c>
      <c r="G50" s="671" t="str">
        <f t="shared" si="0"/>
        <v>As-Is</v>
      </c>
      <c r="H50" s="671" t="str">
        <f t="shared" si="0"/>
        <v>% Re-duction</v>
      </c>
      <c r="I50" s="671" t="str">
        <f t="shared" si="0"/>
        <v>To-Be</v>
      </c>
      <c r="J50" s="671" t="str">
        <f t="shared" si="0"/>
        <v>Savings</v>
      </c>
      <c r="K50" s="671" t="str">
        <f t="shared" si="0"/>
        <v>Comments</v>
      </c>
      <c r="L50" s="398"/>
      <c r="M50" s="398"/>
      <c r="N50" s="398"/>
      <c r="O50" s="398"/>
      <c r="P50" s="398"/>
      <c r="Q50" s="398"/>
      <c r="R50" s="398"/>
      <c r="S50" s="398"/>
      <c r="T50" s="398"/>
      <c r="U50" s="398"/>
      <c r="V50" s="398"/>
      <c r="W50" s="398"/>
      <c r="X50" s="398"/>
      <c r="Y50" s="398"/>
      <c r="Z50" s="398"/>
      <c r="AA50" s="398"/>
      <c r="AB50" s="398"/>
      <c r="AC50" s="398"/>
      <c r="AD50" s="398"/>
      <c r="AE50" s="398"/>
      <c r="AF50" s="398"/>
    </row>
    <row r="51" spans="1:32" ht="15">
      <c r="A51" s="398"/>
      <c r="B51" s="6" t="s">
        <v>369</v>
      </c>
      <c r="C51" s="398"/>
      <c r="D51" s="639"/>
      <c r="E51" s="398"/>
      <c r="F51" s="398"/>
      <c r="G51" s="398"/>
      <c r="H51" s="398"/>
      <c r="I51" s="398"/>
      <c r="J51" s="398"/>
      <c r="K51" s="398"/>
      <c r="L51" s="398"/>
      <c r="M51" s="398"/>
      <c r="N51" s="398"/>
      <c r="O51" s="398"/>
      <c r="P51" s="398"/>
      <c r="Q51" s="398"/>
      <c r="R51" s="398"/>
      <c r="S51" s="398"/>
      <c r="T51" s="398"/>
      <c r="U51" s="398"/>
      <c r="V51" s="398"/>
      <c r="W51" s="398"/>
      <c r="X51" s="398"/>
      <c r="Y51" s="398"/>
      <c r="Z51" s="398"/>
      <c r="AA51" s="398"/>
      <c r="AB51" s="398"/>
      <c r="AC51" s="398"/>
      <c r="AD51" s="398"/>
      <c r="AE51" s="398"/>
      <c r="AF51" s="398"/>
    </row>
    <row r="52" spans="1:32" s="75" customFormat="1" ht="15.75" thickBot="1">
      <c r="A52" s="398"/>
      <c r="B52" s="6"/>
      <c r="C52" s="148" t="s">
        <v>361</v>
      </c>
      <c r="D52" s="639"/>
      <c r="E52" s="398"/>
      <c r="F52" s="398"/>
      <c r="G52" s="398"/>
      <c r="H52" s="398"/>
      <c r="I52" s="398"/>
      <c r="J52" s="398"/>
      <c r="K52" s="398"/>
      <c r="L52" s="398"/>
      <c r="M52" s="398"/>
      <c r="N52" s="298" t="s">
        <v>370</v>
      </c>
      <c r="O52" s="299" t="s">
        <v>371</v>
      </c>
      <c r="P52" s="299" t="s">
        <v>372</v>
      </c>
      <c r="Q52" s="398"/>
      <c r="R52" s="398"/>
      <c r="S52" s="398"/>
      <c r="T52" s="398"/>
      <c r="U52" s="398"/>
      <c r="V52" s="398"/>
      <c r="W52" s="398"/>
      <c r="X52" s="398"/>
      <c r="Y52" s="398"/>
      <c r="Z52" s="398"/>
      <c r="AA52" s="398"/>
      <c r="AB52" s="398"/>
      <c r="AC52" s="398"/>
      <c r="AD52" s="398"/>
      <c r="AE52" s="398"/>
      <c r="AF52" s="398"/>
    </row>
    <row r="53" spans="1:32">
      <c r="A53" s="398"/>
      <c r="B53" s="398"/>
      <c r="C53" s="700" t="s">
        <v>248</v>
      </c>
      <c r="D53" s="140" t="s">
        <v>373</v>
      </c>
      <c r="E53" s="444">
        <v>0.39</v>
      </c>
      <c r="F53" s="567">
        <f>E53*F$57</f>
        <v>2256.836324898808</v>
      </c>
      <c r="G53" s="572">
        <f>F53*1000/PCUsers</f>
        <v>820.01386004865958</v>
      </c>
      <c r="H53" s="491">
        <f>P53</f>
        <v>0</v>
      </c>
      <c r="I53" s="567">
        <f>G53-J53</f>
        <v>820.01386004865958</v>
      </c>
      <c r="J53" s="570">
        <f>G53*H53</f>
        <v>0</v>
      </c>
      <c r="K53" s="489"/>
      <c r="L53" s="398"/>
      <c r="M53" s="398"/>
      <c r="N53" s="74">
        <v>0.05</v>
      </c>
      <c r="O53" s="74">
        <f>Test!E35</f>
        <v>0</v>
      </c>
      <c r="P53" s="74">
        <f>O53*N53</f>
        <v>0</v>
      </c>
      <c r="Q53" s="398"/>
      <c r="R53" s="398"/>
      <c r="S53" s="398"/>
      <c r="T53" s="398"/>
      <c r="U53" s="398"/>
      <c r="V53" s="398"/>
      <c r="W53" s="398"/>
      <c r="X53" s="398"/>
      <c r="Y53" s="398"/>
      <c r="Z53" s="398"/>
      <c r="AA53" s="398"/>
      <c r="AB53" s="398"/>
      <c r="AC53" s="398"/>
      <c r="AD53" s="398"/>
      <c r="AE53" s="398"/>
      <c r="AF53" s="398"/>
    </row>
    <row r="54" spans="1:32" ht="22.5">
      <c r="A54" s="398"/>
      <c r="B54" s="108"/>
      <c r="C54" s="700" t="s">
        <v>250</v>
      </c>
      <c r="D54" s="140" t="s">
        <v>374</v>
      </c>
      <c r="E54" s="492">
        <v>0.2</v>
      </c>
      <c r="F54" s="567">
        <f>E54*F$57</f>
        <v>1157.3519614865681</v>
      </c>
      <c r="G54" s="572">
        <f>F54*1000/PCUsers</f>
        <v>420.51992823008186</v>
      </c>
      <c r="H54" s="493">
        <f>P54</f>
        <v>0</v>
      </c>
      <c r="I54" s="567">
        <f>G54-J54</f>
        <v>420.51992823008186</v>
      </c>
      <c r="J54" s="570">
        <f>G54*H54</f>
        <v>0</v>
      </c>
      <c r="K54" s="489"/>
      <c r="L54" s="398"/>
      <c r="M54" s="398"/>
      <c r="N54" s="74">
        <v>7.0000000000000007E-2</v>
      </c>
      <c r="O54" s="74">
        <f>Test!E36</f>
        <v>0</v>
      </c>
      <c r="P54" s="74">
        <f>O54*N54</f>
        <v>0</v>
      </c>
      <c r="Q54" s="398"/>
      <c r="R54" s="398"/>
      <c r="S54" s="398"/>
      <c r="T54" s="398"/>
      <c r="U54" s="398"/>
      <c r="V54" s="398"/>
      <c r="W54" s="398"/>
      <c r="X54" s="398"/>
      <c r="Y54" s="398"/>
      <c r="Z54" s="398"/>
      <c r="AA54" s="398"/>
      <c r="AB54" s="398"/>
      <c r="AC54" s="398"/>
      <c r="AD54" s="398"/>
      <c r="AE54" s="398"/>
      <c r="AF54" s="398"/>
    </row>
    <row r="55" spans="1:32" ht="34.5" thickBot="1">
      <c r="A55" s="398"/>
      <c r="B55" s="398"/>
      <c r="C55" s="700" t="s">
        <v>255</v>
      </c>
      <c r="D55" s="140" t="s">
        <v>375</v>
      </c>
      <c r="E55" s="488">
        <v>0.25</v>
      </c>
      <c r="F55" s="567">
        <f>E55*F$57</f>
        <v>1446.6899518582102</v>
      </c>
      <c r="G55" s="572">
        <f>F55*1000/PCUsers</f>
        <v>525.64991028760232</v>
      </c>
      <c r="H55" s="493">
        <f>P55</f>
        <v>2.6000000000000002E-2</v>
      </c>
      <c r="I55" s="567">
        <f>G55-J55</f>
        <v>511.98301262012467</v>
      </c>
      <c r="J55" s="570">
        <f>G55*H55</f>
        <v>13.666897667477661</v>
      </c>
      <c r="K55" s="489"/>
      <c r="L55" s="398"/>
      <c r="M55" s="398"/>
      <c r="N55" s="74">
        <v>0.13</v>
      </c>
      <c r="O55" s="74">
        <f>Test!E37</f>
        <v>0.2</v>
      </c>
      <c r="P55" s="74">
        <f>O55*N55</f>
        <v>2.6000000000000002E-2</v>
      </c>
      <c r="Q55" s="398"/>
      <c r="R55" s="398"/>
      <c r="S55" s="398"/>
      <c r="T55" s="398"/>
      <c r="U55" s="398"/>
      <c r="V55" s="398"/>
      <c r="W55" s="398"/>
      <c r="X55" s="398"/>
      <c r="Y55" s="398"/>
      <c r="Z55" s="398"/>
      <c r="AA55" s="398"/>
      <c r="AB55" s="398"/>
      <c r="AC55" s="398"/>
      <c r="AD55" s="398"/>
      <c r="AE55" s="398"/>
      <c r="AF55" s="398"/>
    </row>
    <row r="56" spans="1:32" ht="13.5" thickBot="1">
      <c r="A56" s="398"/>
      <c r="B56" s="108"/>
      <c r="C56" s="700" t="s">
        <v>180</v>
      </c>
      <c r="D56" s="150" t="s">
        <v>376</v>
      </c>
      <c r="E56" s="141">
        <f>1-SUM(E53:E55)</f>
        <v>0.15999999999999992</v>
      </c>
      <c r="F56" s="569">
        <f>E56*F$57</f>
        <v>925.88156918925404</v>
      </c>
      <c r="G56" s="572">
        <f>F56*1000/PCUsers</f>
        <v>336.41594258406531</v>
      </c>
      <c r="H56" s="494">
        <f>P56</f>
        <v>1.2500000000000001E-2</v>
      </c>
      <c r="I56" s="567">
        <f>G56-J56</f>
        <v>332.21074330176447</v>
      </c>
      <c r="J56" s="570">
        <f>G56*H56</f>
        <v>4.2051992823008169</v>
      </c>
      <c r="K56" s="490"/>
      <c r="L56" s="398"/>
      <c r="M56" s="398"/>
      <c r="N56" s="74">
        <v>0.1</v>
      </c>
      <c r="O56" s="74">
        <f>Test!E38</f>
        <v>0.125</v>
      </c>
      <c r="P56" s="74">
        <f>O56*N56</f>
        <v>1.2500000000000001E-2</v>
      </c>
      <c r="Q56" s="398"/>
      <c r="R56" s="398"/>
      <c r="S56" s="398"/>
      <c r="T56" s="398"/>
      <c r="U56" s="398"/>
      <c r="V56" s="398"/>
      <c r="W56" s="398"/>
      <c r="X56" s="398"/>
      <c r="Y56" s="398"/>
      <c r="Z56" s="398"/>
      <c r="AA56" s="398"/>
      <c r="AB56" s="398"/>
      <c r="AC56" s="398"/>
      <c r="AD56" s="398"/>
      <c r="AE56" s="398"/>
      <c r="AF56" s="398"/>
    </row>
    <row r="57" spans="1:32" ht="13.5" thickTop="1">
      <c r="A57" s="398"/>
      <c r="B57" s="398"/>
      <c r="C57" s="151" t="s">
        <v>377</v>
      </c>
      <c r="D57" s="639"/>
      <c r="E57" s="152">
        <f>SUM(E53:E56)</f>
        <v>1</v>
      </c>
      <c r="F57" s="571">
        <f>F22</f>
        <v>5786.7598074328407</v>
      </c>
      <c r="G57" s="571">
        <f>SUM(G52:G56)</f>
        <v>2102.5996411504093</v>
      </c>
      <c r="H57" s="143">
        <f>J57/G57</f>
        <v>8.4999999999999989E-3</v>
      </c>
      <c r="I57" s="571">
        <f>SUM(I52:I56)</f>
        <v>2084.7275442006307</v>
      </c>
      <c r="J57" s="571">
        <f>SUM(J52:J56)</f>
        <v>17.872096949778477</v>
      </c>
      <c r="K57" s="398"/>
      <c r="L57" s="398"/>
      <c r="M57" s="398"/>
      <c r="N57" s="398"/>
      <c r="O57" s="398"/>
      <c r="P57" s="398"/>
      <c r="Q57" s="398"/>
      <c r="R57" s="398"/>
      <c r="S57" s="398"/>
      <c r="T57" s="398"/>
      <c r="U57" s="398"/>
      <c r="V57" s="398"/>
      <c r="W57" s="398"/>
      <c r="X57" s="398"/>
      <c r="Y57" s="398"/>
      <c r="Z57" s="398"/>
      <c r="AA57" s="398"/>
      <c r="AB57" s="398"/>
      <c r="AC57" s="398"/>
      <c r="AD57" s="398"/>
      <c r="AE57" s="398"/>
      <c r="AF57" s="398"/>
    </row>
    <row r="58" spans="1:32" ht="15">
      <c r="A58" s="398"/>
      <c r="B58" s="6" t="s">
        <v>261</v>
      </c>
      <c r="C58" s="271"/>
      <c r="D58" s="639"/>
      <c r="E58" s="398"/>
      <c r="F58" s="398"/>
      <c r="G58" s="398"/>
      <c r="H58" s="398"/>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row>
    <row r="59" spans="1:32" s="75" customFormat="1" ht="15.75" thickBot="1">
      <c r="A59" s="398"/>
      <c r="B59" s="6"/>
      <c r="C59" s="148" t="s">
        <v>362</v>
      </c>
      <c r="D59" s="639"/>
      <c r="E59" s="398"/>
      <c r="F59" s="398"/>
      <c r="G59" s="398"/>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row>
    <row r="60" spans="1:32" ht="33.75">
      <c r="A60" s="398"/>
      <c r="B60" s="398"/>
      <c r="C60" s="700" t="s">
        <v>378</v>
      </c>
      <c r="D60" s="140" t="s">
        <v>379</v>
      </c>
      <c r="E60" s="444">
        <v>0.21</v>
      </c>
      <c r="F60" s="567">
        <f>E60*F$64</f>
        <v>1495.6548425364881</v>
      </c>
      <c r="G60" s="572">
        <f>F60*1000/PCUsers</f>
        <v>543.44113802041352</v>
      </c>
      <c r="H60" s="491">
        <f>P60</f>
        <v>5.000000000000001E-3</v>
      </c>
      <c r="I60" s="567">
        <f>G60-J60</f>
        <v>540.72393233031141</v>
      </c>
      <c r="J60" s="570">
        <f>G60*H60</f>
        <v>2.7172056901020682</v>
      </c>
      <c r="K60" s="489"/>
      <c r="L60" s="398"/>
      <c r="M60" s="398"/>
      <c r="N60" s="74">
        <v>0.05</v>
      </c>
      <c r="O60" s="74">
        <f>Test!E42</f>
        <v>0.1</v>
      </c>
      <c r="P60" s="74">
        <f>O60*N60</f>
        <v>5.000000000000001E-3</v>
      </c>
      <c r="Q60" s="398"/>
      <c r="R60" s="398"/>
      <c r="S60" s="398"/>
      <c r="T60" s="398"/>
      <c r="U60" s="398"/>
      <c r="V60" s="398"/>
      <c r="W60" s="398"/>
      <c r="X60" s="398"/>
      <c r="Y60" s="398"/>
      <c r="Z60" s="398"/>
      <c r="AA60" s="398"/>
      <c r="AB60" s="398"/>
      <c r="AC60" s="398"/>
      <c r="AD60" s="398"/>
      <c r="AE60" s="398"/>
      <c r="AF60" s="398"/>
    </row>
    <row r="61" spans="1:32">
      <c r="A61" s="398"/>
      <c r="B61" s="398"/>
      <c r="C61" s="700" t="s">
        <v>380</v>
      </c>
      <c r="D61" s="140" t="s">
        <v>381</v>
      </c>
      <c r="E61" s="492">
        <v>0.27</v>
      </c>
      <c r="F61" s="567">
        <f>E61*F$64</f>
        <v>1922.9847975469133</v>
      </c>
      <c r="G61" s="572">
        <f>F61*1000/PCUsers</f>
        <v>698.71003459767451</v>
      </c>
      <c r="H61" s="493">
        <f>P61</f>
        <v>4.0000000000000001E-3</v>
      </c>
      <c r="I61" s="567">
        <f>G61-J61</f>
        <v>695.91519445928384</v>
      </c>
      <c r="J61" s="570">
        <f>G61*H61</f>
        <v>2.7948401383906982</v>
      </c>
      <c r="K61" s="489"/>
      <c r="L61" s="398"/>
      <c r="M61" s="398"/>
      <c r="N61" s="74">
        <v>0.04</v>
      </c>
      <c r="O61" s="74">
        <f>Test!E43</f>
        <v>0.1</v>
      </c>
      <c r="P61" s="74">
        <f>O61*N61</f>
        <v>4.0000000000000001E-3</v>
      </c>
      <c r="Q61" s="398"/>
      <c r="R61" s="398"/>
      <c r="S61" s="398"/>
      <c r="T61" s="398"/>
      <c r="U61" s="398"/>
      <c r="V61" s="398"/>
      <c r="W61" s="398"/>
      <c r="X61" s="398"/>
      <c r="Y61" s="398"/>
      <c r="Z61" s="398"/>
      <c r="AA61" s="398"/>
      <c r="AB61" s="398"/>
      <c r="AC61" s="398"/>
      <c r="AD61" s="398"/>
      <c r="AE61" s="398"/>
      <c r="AF61" s="398"/>
    </row>
    <row r="62" spans="1:32" ht="39" thickBot="1">
      <c r="A62" s="398"/>
      <c r="B62" s="398"/>
      <c r="C62" s="700" t="s">
        <v>382</v>
      </c>
      <c r="D62" s="140" t="s">
        <v>383</v>
      </c>
      <c r="E62" s="488">
        <v>0.22</v>
      </c>
      <c r="F62" s="567">
        <f>E62*F$64</f>
        <v>1566.8765017048922</v>
      </c>
      <c r="G62" s="572">
        <f>F62*1000/PCUsers</f>
        <v>569.31928744995696</v>
      </c>
      <c r="H62" s="493">
        <f>P62</f>
        <v>1.2500000000000002E-3</v>
      </c>
      <c r="I62" s="567">
        <f>G62-J62</f>
        <v>568.60763834064448</v>
      </c>
      <c r="J62" s="570">
        <f>G62*H62</f>
        <v>0.71164910931244629</v>
      </c>
      <c r="K62" s="489"/>
      <c r="L62" s="398"/>
      <c r="M62" s="398"/>
      <c r="N62" s="74">
        <v>0.05</v>
      </c>
      <c r="O62" s="74">
        <f>Test!E44</f>
        <v>2.5000000000000001E-2</v>
      </c>
      <c r="P62" s="74">
        <f>O62*N62</f>
        <v>1.2500000000000002E-3</v>
      </c>
      <c r="Q62" s="398"/>
      <c r="R62" s="398"/>
      <c r="S62" s="398"/>
      <c r="T62" s="398"/>
      <c r="U62" s="398"/>
      <c r="V62" s="398"/>
      <c r="W62" s="398"/>
      <c r="X62" s="398"/>
      <c r="Y62" s="398"/>
      <c r="Z62" s="398"/>
      <c r="AA62" s="398"/>
      <c r="AB62" s="398"/>
      <c r="AC62" s="398"/>
      <c r="AD62" s="398"/>
      <c r="AE62" s="398"/>
      <c r="AF62" s="398"/>
    </row>
    <row r="63" spans="1:32" ht="34.5" thickBot="1">
      <c r="A63" s="398"/>
      <c r="B63" s="108"/>
      <c r="C63" s="700" t="s">
        <v>384</v>
      </c>
      <c r="D63" s="150" t="s">
        <v>385</v>
      </c>
      <c r="E63" s="141">
        <f>1-SUM(E60:E62)</f>
        <v>0.30000000000000004</v>
      </c>
      <c r="F63" s="569">
        <f>E63*F$64</f>
        <v>2136.6497750521262</v>
      </c>
      <c r="G63" s="572">
        <f>F63*1000/PCUsers</f>
        <v>776.34448288630506</v>
      </c>
      <c r="H63" s="494">
        <f>P63</f>
        <v>1.3999999999999999E-2</v>
      </c>
      <c r="I63" s="567">
        <f>G63-J63</f>
        <v>765.47566012589675</v>
      </c>
      <c r="J63" s="570">
        <f>G63*H63</f>
        <v>10.868822760408269</v>
      </c>
      <c r="K63" s="490"/>
      <c r="L63" s="398"/>
      <c r="M63" s="398"/>
      <c r="N63" s="74">
        <v>0.08</v>
      </c>
      <c r="O63" s="74">
        <f>Test!E45</f>
        <v>0.17499999999999999</v>
      </c>
      <c r="P63" s="74">
        <f>O63*N63</f>
        <v>1.3999999999999999E-2</v>
      </c>
      <c r="Q63" s="398"/>
      <c r="R63" s="398"/>
      <c r="S63" s="398"/>
      <c r="T63" s="398"/>
      <c r="U63" s="398"/>
      <c r="V63" s="398"/>
      <c r="W63" s="398"/>
      <c r="X63" s="398"/>
      <c r="Y63" s="398"/>
      <c r="Z63" s="398"/>
      <c r="AA63" s="398"/>
      <c r="AB63" s="398"/>
      <c r="AC63" s="398"/>
      <c r="AD63" s="398"/>
      <c r="AE63" s="398"/>
      <c r="AF63" s="398"/>
    </row>
    <row r="64" spans="1:32" ht="13.5" thickTop="1">
      <c r="A64" s="398"/>
      <c r="B64" s="398"/>
      <c r="C64" s="151" t="s">
        <v>386</v>
      </c>
      <c r="D64" s="639"/>
      <c r="E64" s="152">
        <f>SUM(E60:E63)</f>
        <v>1</v>
      </c>
      <c r="F64" s="571">
        <f>F23</f>
        <v>7122.1659168404194</v>
      </c>
      <c r="G64" s="571">
        <f>SUM(G59:G63)</f>
        <v>2587.81494295435</v>
      </c>
      <c r="H64" s="143">
        <f>J64/G64</f>
        <v>6.6050000000000006E-3</v>
      </c>
      <c r="I64" s="571">
        <f>SUM(I59:I63)</f>
        <v>2570.7224252561364</v>
      </c>
      <c r="J64" s="571">
        <f>SUM(J59:J63)</f>
        <v>17.092517698213484</v>
      </c>
      <c r="K64" s="398"/>
      <c r="L64" s="398"/>
      <c r="M64" s="398"/>
      <c r="N64" s="398"/>
      <c r="O64" s="398"/>
      <c r="P64" s="398"/>
      <c r="Q64" s="398"/>
      <c r="R64" s="398"/>
      <c r="S64" s="398"/>
      <c r="T64" s="398"/>
      <c r="U64" s="398"/>
      <c r="V64" s="398"/>
      <c r="W64" s="398"/>
      <c r="X64" s="398"/>
      <c r="Y64" s="398"/>
      <c r="Z64" s="398"/>
      <c r="AA64" s="398"/>
      <c r="AB64" s="398"/>
      <c r="AC64" s="398"/>
      <c r="AD64" s="398"/>
      <c r="AE64" s="398"/>
      <c r="AF64" s="398"/>
    </row>
    <row r="65" spans="1:32" ht="15.75" thickBot="1">
      <c r="A65" s="398"/>
      <c r="B65" s="6" t="s">
        <v>387</v>
      </c>
      <c r="C65" s="153"/>
      <c r="D65" s="639"/>
      <c r="E65" s="398"/>
      <c r="F65" s="398"/>
      <c r="G65" s="398"/>
      <c r="H65" s="398"/>
      <c r="I65" s="398"/>
      <c r="J65" s="398"/>
      <c r="K65" s="398"/>
      <c r="L65" s="398"/>
      <c r="M65" s="398"/>
      <c r="N65" s="398"/>
      <c r="O65" s="398"/>
      <c r="P65" s="398"/>
      <c r="Q65" s="398"/>
      <c r="R65" s="398"/>
      <c r="S65" s="398"/>
      <c r="T65" s="398"/>
      <c r="U65" s="398"/>
      <c r="V65" s="398"/>
      <c r="W65" s="398"/>
      <c r="X65" s="398"/>
      <c r="Y65" s="398"/>
      <c r="Z65" s="398"/>
      <c r="AA65" s="398"/>
      <c r="AB65" s="398"/>
      <c r="AC65" s="398"/>
      <c r="AD65" s="398"/>
      <c r="AE65" s="398"/>
      <c r="AF65" s="398"/>
    </row>
    <row r="66" spans="1:32">
      <c r="A66" s="398"/>
      <c r="B66" s="398"/>
      <c r="C66" s="700" t="s">
        <v>388</v>
      </c>
      <c r="D66" s="140" t="s">
        <v>389</v>
      </c>
      <c r="E66" s="444">
        <v>0.14000000000000001</v>
      </c>
      <c r="F66" s="567">
        <f>E66*F$70</f>
        <v>1308.6979872194272</v>
      </c>
      <c r="G66" s="572">
        <f>F66*1000/PCUsers</f>
        <v>475.51099576786186</v>
      </c>
      <c r="H66" s="491">
        <f>P66</f>
        <v>2E-3</v>
      </c>
      <c r="I66" s="567">
        <f>G66-J66</f>
        <v>474.55997377632616</v>
      </c>
      <c r="J66" s="570">
        <f>G66*H66</f>
        <v>0.95102199153572375</v>
      </c>
      <c r="K66" s="489"/>
      <c r="L66" s="398"/>
      <c r="M66" s="398"/>
      <c r="N66" s="74">
        <v>0.08</v>
      </c>
      <c r="O66" s="74">
        <f>Test!E48</f>
        <v>2.5000000000000001E-2</v>
      </c>
      <c r="P66" s="74">
        <f>O66*N66</f>
        <v>2E-3</v>
      </c>
      <c r="Q66" s="398"/>
      <c r="R66" s="398"/>
      <c r="S66" s="398"/>
      <c r="T66" s="398"/>
      <c r="U66" s="398"/>
      <c r="V66" s="398"/>
      <c r="W66" s="398"/>
      <c r="X66" s="398"/>
      <c r="Y66" s="398"/>
      <c r="Z66" s="398"/>
      <c r="AA66" s="398"/>
      <c r="AB66" s="398"/>
      <c r="AC66" s="398"/>
      <c r="AD66" s="398"/>
      <c r="AE66" s="398"/>
      <c r="AF66" s="398"/>
    </row>
    <row r="67" spans="1:32" ht="22.5">
      <c r="A67" s="398"/>
      <c r="B67" s="398"/>
      <c r="C67" s="700" t="s">
        <v>390</v>
      </c>
      <c r="D67" s="140" t="s">
        <v>391</v>
      </c>
      <c r="E67" s="492">
        <v>0.31</v>
      </c>
      <c r="F67" s="567">
        <f>E67*F$70</f>
        <v>2897.8312574144456</v>
      </c>
      <c r="G67" s="572">
        <f>F67*1000/PCUsers</f>
        <v>1052.9172049145511</v>
      </c>
      <c r="H67" s="493">
        <f>P67</f>
        <v>2E-3</v>
      </c>
      <c r="I67" s="567">
        <f>G67-J67</f>
        <v>1050.8113705047219</v>
      </c>
      <c r="J67" s="570">
        <f>G67*H67</f>
        <v>2.1058344098291024</v>
      </c>
      <c r="K67" s="489"/>
      <c r="L67" s="398"/>
      <c r="M67" s="398"/>
      <c r="N67" s="74">
        <v>0.08</v>
      </c>
      <c r="O67" s="74">
        <f>Test!E49</f>
        <v>2.5000000000000001E-2</v>
      </c>
      <c r="P67" s="74">
        <f>O67*N67</f>
        <v>2E-3</v>
      </c>
      <c r="Q67" s="398"/>
      <c r="R67" s="398"/>
      <c r="S67" s="398"/>
      <c r="T67" s="398"/>
      <c r="U67" s="398"/>
      <c r="V67" s="398"/>
      <c r="W67" s="398"/>
      <c r="X67" s="398"/>
      <c r="Y67" s="398"/>
      <c r="Z67" s="398"/>
      <c r="AA67" s="398"/>
      <c r="AB67" s="398"/>
      <c r="AC67" s="398"/>
      <c r="AD67" s="398"/>
      <c r="AE67" s="398"/>
      <c r="AF67" s="398"/>
    </row>
    <row r="68" spans="1:32" ht="34.5" thickBot="1">
      <c r="A68" s="398"/>
      <c r="B68" s="398"/>
      <c r="C68" s="700" t="s">
        <v>392</v>
      </c>
      <c r="D68" s="140" t="s">
        <v>393</v>
      </c>
      <c r="E68" s="488">
        <v>0.28000000000000003</v>
      </c>
      <c r="F68" s="567">
        <f>E68*F$70</f>
        <v>2617.3959744388544</v>
      </c>
      <c r="G68" s="572">
        <f>F68*1000/PCUsers</f>
        <v>951.02199153572371</v>
      </c>
      <c r="H68" s="493">
        <f>P68</f>
        <v>0.02</v>
      </c>
      <c r="I68" s="567">
        <f>G68-J68</f>
        <v>932.00155170500921</v>
      </c>
      <c r="J68" s="570">
        <f>G68*H68</f>
        <v>19.020439830714476</v>
      </c>
      <c r="K68" s="489"/>
      <c r="L68" s="398"/>
      <c r="M68" s="398"/>
      <c r="N68" s="74">
        <v>0.08</v>
      </c>
      <c r="O68" s="74">
        <f>Test!E50</f>
        <v>0.25</v>
      </c>
      <c r="P68" s="74">
        <f>O68*N68</f>
        <v>0.02</v>
      </c>
      <c r="Q68" s="398"/>
      <c r="R68" s="398"/>
      <c r="S68" s="398"/>
      <c r="T68" s="398"/>
      <c r="U68" s="398"/>
      <c r="V68" s="398"/>
      <c r="W68" s="398"/>
      <c r="X68" s="398"/>
      <c r="Y68" s="398"/>
      <c r="Z68" s="398"/>
      <c r="AA68" s="398"/>
      <c r="AB68" s="398"/>
      <c r="AC68" s="398"/>
      <c r="AD68" s="398"/>
      <c r="AE68" s="398"/>
      <c r="AF68" s="398"/>
    </row>
    <row r="69" spans="1:32" ht="26.25" thickBot="1">
      <c r="A69" s="398"/>
      <c r="B69" s="398"/>
      <c r="C69" s="700" t="s">
        <v>394</v>
      </c>
      <c r="D69" s="150" t="s">
        <v>395</v>
      </c>
      <c r="E69" s="141">
        <f>1-SUM(E66:E68)</f>
        <v>0.27</v>
      </c>
      <c r="F69" s="569">
        <f>E69*F$70</f>
        <v>2523.9175467803238</v>
      </c>
      <c r="G69" s="572">
        <f>F69*1000/PCUsers</f>
        <v>917.05692040944791</v>
      </c>
      <c r="H69" s="494">
        <f>P69</f>
        <v>5.5000000000000005E-3</v>
      </c>
      <c r="I69" s="567">
        <f>G69-J69</f>
        <v>912.01310734719596</v>
      </c>
      <c r="J69" s="570">
        <f>G69*H69</f>
        <v>5.0438130622519637</v>
      </c>
      <c r="K69" s="490"/>
      <c r="L69" s="398"/>
      <c r="M69" s="398"/>
      <c r="N69" s="74">
        <v>0.11</v>
      </c>
      <c r="O69" s="74">
        <f>Test!E51</f>
        <v>0.05</v>
      </c>
      <c r="P69" s="74">
        <f>O69*N69</f>
        <v>5.5000000000000005E-3</v>
      </c>
      <c r="Q69" s="398"/>
      <c r="R69" s="398"/>
      <c r="S69" s="398"/>
      <c r="T69" s="398"/>
      <c r="U69" s="398"/>
      <c r="V69" s="398"/>
      <c r="W69" s="398"/>
      <c r="X69" s="398"/>
      <c r="Y69" s="398"/>
      <c r="Z69" s="398"/>
      <c r="AA69" s="398"/>
      <c r="AB69" s="398"/>
      <c r="AC69" s="398"/>
      <c r="AD69" s="398"/>
      <c r="AE69" s="398"/>
      <c r="AF69" s="398"/>
    </row>
    <row r="70" spans="1:32" ht="13.5" thickTop="1">
      <c r="A70" s="398"/>
      <c r="B70" s="398"/>
      <c r="C70" s="151" t="s">
        <v>396</v>
      </c>
      <c r="D70" s="639"/>
      <c r="E70" s="152">
        <f>SUM(E66:E69)</f>
        <v>1</v>
      </c>
      <c r="F70" s="571">
        <f>F25</f>
        <v>9347.8427658530509</v>
      </c>
      <c r="G70" s="571">
        <f>SUM(G65:G69)</f>
        <v>3396.5071126275843</v>
      </c>
      <c r="H70" s="143">
        <f>J70/G70</f>
        <v>7.9850000000000008E-3</v>
      </c>
      <c r="I70" s="571">
        <f>SUM(I65:I69)</f>
        <v>3369.386003333253</v>
      </c>
      <c r="J70" s="571">
        <f>SUM(J65:J69)</f>
        <v>27.121109294331266</v>
      </c>
      <c r="K70" s="398"/>
      <c r="L70" s="398"/>
      <c r="M70" s="398"/>
      <c r="N70" s="398"/>
      <c r="O70" s="398"/>
      <c r="P70" s="398"/>
      <c r="Q70" s="398"/>
      <c r="R70" s="398"/>
      <c r="S70" s="398"/>
      <c r="T70" s="398"/>
      <c r="U70" s="398"/>
      <c r="V70" s="398"/>
      <c r="W70" s="398"/>
      <c r="X70" s="398"/>
      <c r="Y70" s="398"/>
      <c r="Z70" s="398"/>
      <c r="AA70" s="398"/>
      <c r="AB70" s="398"/>
      <c r="AC70" s="398"/>
      <c r="AD70" s="398"/>
      <c r="AE70" s="398"/>
      <c r="AF70" s="398"/>
    </row>
    <row r="71" spans="1:32">
      <c r="A71" s="398"/>
      <c r="B71" s="398"/>
      <c r="C71" s="398"/>
      <c r="D71" s="639"/>
      <c r="E71" s="398"/>
      <c r="F71" s="398"/>
      <c r="G71" s="398"/>
      <c r="H71" s="398"/>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row>
    <row r="72" spans="1:32" ht="15.75" thickBot="1">
      <c r="A72" s="398"/>
      <c r="B72" s="6" t="s">
        <v>397</v>
      </c>
      <c r="C72" s="271"/>
      <c r="D72" s="639"/>
      <c r="E72" s="398"/>
      <c r="F72" s="398"/>
      <c r="G72" s="398"/>
      <c r="H72" s="398"/>
      <c r="I72" s="398"/>
      <c r="J72" s="398"/>
      <c r="K72" s="398"/>
      <c r="L72" s="398"/>
      <c r="M72" s="398"/>
      <c r="N72" s="398"/>
      <c r="O72" s="398"/>
      <c r="P72" s="398"/>
      <c r="Q72" s="398"/>
      <c r="R72" s="398"/>
      <c r="S72" s="398"/>
      <c r="T72" s="398"/>
      <c r="U72" s="398"/>
      <c r="V72" s="398"/>
      <c r="W72" s="398"/>
      <c r="X72" s="398"/>
      <c r="Y72" s="398"/>
      <c r="Z72" s="398"/>
      <c r="AA72" s="398"/>
      <c r="AB72" s="398"/>
      <c r="AC72" s="398"/>
      <c r="AD72" s="398"/>
      <c r="AE72" s="398"/>
      <c r="AF72" s="398"/>
    </row>
    <row r="73" spans="1:32" ht="25.5">
      <c r="A73" s="398"/>
      <c r="B73" s="398"/>
      <c r="C73" s="700" t="s">
        <v>398</v>
      </c>
      <c r="D73" s="140" t="s">
        <v>399</v>
      </c>
      <c r="E73" s="444">
        <v>0.14000000000000001</v>
      </c>
      <c r="F73" s="567">
        <f>E73*F$77</f>
        <v>1184.0600836747203</v>
      </c>
      <c r="G73" s="572">
        <f>F73*1000/PCUsers</f>
        <v>430.22423426616086</v>
      </c>
      <c r="H73" s="491">
        <f>P73</f>
        <v>3.0000000000000001E-3</v>
      </c>
      <c r="I73" s="567">
        <f>G73-J73</f>
        <v>428.93356156336239</v>
      </c>
      <c r="J73" s="570">
        <f>G73*H73</f>
        <v>1.2906727027984826</v>
      </c>
      <c r="K73" s="489"/>
      <c r="L73" s="398"/>
      <c r="M73" s="398"/>
      <c r="N73" s="74">
        <v>0.06</v>
      </c>
      <c r="O73" s="74">
        <f>Test!E55</f>
        <v>0.05</v>
      </c>
      <c r="P73" s="74">
        <f>O73*N73</f>
        <v>3.0000000000000001E-3</v>
      </c>
      <c r="Q73" s="398"/>
      <c r="R73" s="398"/>
      <c r="S73" s="398"/>
      <c r="T73" s="398"/>
      <c r="U73" s="398"/>
      <c r="V73" s="398"/>
      <c r="W73" s="398"/>
      <c r="X73" s="398"/>
      <c r="Y73" s="398"/>
      <c r="Z73" s="398"/>
      <c r="AA73" s="398"/>
      <c r="AB73" s="398"/>
      <c r="AC73" s="398"/>
      <c r="AD73" s="398"/>
      <c r="AE73" s="398"/>
      <c r="AF73" s="398"/>
    </row>
    <row r="74" spans="1:32" ht="22.5">
      <c r="A74" s="398"/>
      <c r="B74" s="398"/>
      <c r="C74" s="700" t="s">
        <v>251</v>
      </c>
      <c r="D74" s="140" t="s">
        <v>400</v>
      </c>
      <c r="E74" s="492">
        <v>7.0000000000000007E-2</v>
      </c>
      <c r="F74" s="567">
        <f>E74*F$77</f>
        <v>592.03004183736016</v>
      </c>
      <c r="G74" s="572">
        <f>F74*1000/PCUsers</f>
        <v>215.11211713308043</v>
      </c>
      <c r="H74" s="493">
        <f>P74</f>
        <v>0</v>
      </c>
      <c r="I74" s="567">
        <f>G74-J74</f>
        <v>215.11211713308043</v>
      </c>
      <c r="J74" s="570">
        <f>G74*H74</f>
        <v>0</v>
      </c>
      <c r="K74" s="489"/>
      <c r="L74" s="398"/>
      <c r="M74" s="398"/>
      <c r="N74" s="74">
        <v>0.08</v>
      </c>
      <c r="O74" s="74">
        <f>Test!E56</f>
        <v>0</v>
      </c>
      <c r="P74" s="74">
        <f>O74*N74</f>
        <v>0</v>
      </c>
      <c r="Q74" s="398"/>
      <c r="R74" s="398"/>
      <c r="S74" s="398"/>
      <c r="T74" s="398"/>
      <c r="U74" s="398"/>
      <c r="V74" s="398"/>
      <c r="W74" s="398"/>
      <c r="X74" s="398"/>
      <c r="Y74" s="398"/>
      <c r="Z74" s="398"/>
      <c r="AA74" s="398"/>
      <c r="AB74" s="398"/>
      <c r="AC74" s="398"/>
      <c r="AD74" s="398"/>
      <c r="AE74" s="398"/>
      <c r="AF74" s="398"/>
    </row>
    <row r="75" spans="1:32" ht="13.5" thickBot="1">
      <c r="A75" s="398"/>
      <c r="B75" s="398"/>
      <c r="C75" s="700" t="s">
        <v>401</v>
      </c>
      <c r="D75" s="140" t="s">
        <v>402</v>
      </c>
      <c r="E75" s="488">
        <v>0.34</v>
      </c>
      <c r="F75" s="567">
        <f>E75*F$77</f>
        <v>2875.5744889243206</v>
      </c>
      <c r="G75" s="572">
        <f>F75*1000/PCUsers</f>
        <v>1044.8302832178192</v>
      </c>
      <c r="H75" s="493">
        <f>P75</f>
        <v>6.0000000000000001E-3</v>
      </c>
      <c r="I75" s="567">
        <f>G75-J75</f>
        <v>1038.5613015185122</v>
      </c>
      <c r="J75" s="570">
        <f>G75*H75</f>
        <v>6.2689816993069156</v>
      </c>
      <c r="K75" s="489"/>
      <c r="L75" s="398"/>
      <c r="M75" s="398"/>
      <c r="N75" s="74">
        <v>0.08</v>
      </c>
      <c r="O75" s="74">
        <f>Test!E57</f>
        <v>7.4999999999999997E-2</v>
      </c>
      <c r="P75" s="74">
        <f>O75*N75</f>
        <v>6.0000000000000001E-3</v>
      </c>
      <c r="Q75" s="398"/>
      <c r="R75" s="398"/>
      <c r="S75" s="398"/>
      <c r="T75" s="398"/>
      <c r="U75" s="398"/>
      <c r="V75" s="398"/>
      <c r="W75" s="398"/>
      <c r="X75" s="398"/>
      <c r="Y75" s="398"/>
      <c r="Z75" s="398"/>
      <c r="AA75" s="398"/>
      <c r="AB75" s="398"/>
      <c r="AC75" s="398"/>
      <c r="AD75" s="398"/>
      <c r="AE75" s="398"/>
      <c r="AF75" s="398"/>
    </row>
    <row r="76" spans="1:32" ht="26.25" thickBot="1">
      <c r="A76" s="398"/>
      <c r="B76" s="398"/>
      <c r="C76" s="700" t="s">
        <v>403</v>
      </c>
      <c r="D76" s="150" t="s">
        <v>402</v>
      </c>
      <c r="E76" s="141">
        <f>1-SUM(E73:E75)</f>
        <v>0.44999999999999996</v>
      </c>
      <c r="F76" s="569">
        <f>E76*F$77</f>
        <v>3805.9074118116</v>
      </c>
      <c r="G76" s="572">
        <f>F76*1000/PCUsers</f>
        <v>1382.863610141231</v>
      </c>
      <c r="H76" s="494">
        <f>P76</f>
        <v>0</v>
      </c>
      <c r="I76" s="567">
        <f>G76-J76</f>
        <v>1382.863610141231</v>
      </c>
      <c r="J76" s="570">
        <f>G76*H76</f>
        <v>0</v>
      </c>
      <c r="K76" s="490"/>
      <c r="L76" s="398"/>
      <c r="M76" s="398"/>
      <c r="N76" s="74">
        <v>0.11</v>
      </c>
      <c r="O76" s="74">
        <f>Test!E58</f>
        <v>0</v>
      </c>
      <c r="P76" s="74">
        <f>O76*N76</f>
        <v>0</v>
      </c>
      <c r="Q76" s="398"/>
      <c r="R76" s="398"/>
      <c r="S76" s="398"/>
      <c r="T76" s="398"/>
      <c r="U76" s="398"/>
      <c r="V76" s="398"/>
      <c r="W76" s="398"/>
      <c r="X76" s="398"/>
      <c r="Y76" s="398"/>
      <c r="Z76" s="398"/>
      <c r="AA76" s="398"/>
      <c r="AB76" s="398"/>
      <c r="AC76" s="398"/>
      <c r="AD76" s="398"/>
      <c r="AE76" s="398"/>
      <c r="AF76" s="398"/>
    </row>
    <row r="77" spans="1:32" ht="13.5" thickTop="1">
      <c r="A77" s="398"/>
      <c r="B77" s="108"/>
      <c r="C77" s="151" t="s">
        <v>404</v>
      </c>
      <c r="D77" s="398"/>
      <c r="E77" s="152">
        <f>SUM(E73:E76)</f>
        <v>1</v>
      </c>
      <c r="F77" s="571">
        <f>F26</f>
        <v>8457.5720262480008</v>
      </c>
      <c r="G77" s="571">
        <f>SUM(G72:G76)</f>
        <v>3073.0302447582917</v>
      </c>
      <c r="H77" s="143">
        <f>J77/G77</f>
        <v>2.4599999999999999E-3</v>
      </c>
      <c r="I77" s="571">
        <f>SUM(I72:I76)</f>
        <v>3065.4705903561862</v>
      </c>
      <c r="J77" s="571">
        <f>SUM(J72:J76)</f>
        <v>7.559654402105398</v>
      </c>
      <c r="K77" s="398"/>
      <c r="L77" s="398"/>
      <c r="M77" s="398"/>
      <c r="N77" s="398"/>
      <c r="O77" s="398"/>
      <c r="P77" s="398"/>
      <c r="Q77" s="398"/>
      <c r="R77" s="398"/>
      <c r="S77" s="398"/>
      <c r="T77" s="398"/>
      <c r="U77" s="398"/>
      <c r="V77" s="398"/>
      <c r="W77" s="398"/>
      <c r="X77" s="398"/>
      <c r="Y77" s="398"/>
      <c r="Z77" s="398"/>
      <c r="AA77" s="398"/>
      <c r="AB77" s="398"/>
      <c r="AC77" s="398"/>
      <c r="AD77" s="398"/>
      <c r="AE77" s="398"/>
      <c r="AF77" s="398"/>
    </row>
    <row r="78" spans="1:32">
      <c r="A78" s="398"/>
      <c r="B78" s="398"/>
      <c r="C78" s="398"/>
      <c r="D78" s="398"/>
      <c r="E78" s="398"/>
      <c r="F78" s="398"/>
      <c r="G78" s="398"/>
      <c r="H78" s="398"/>
      <c r="I78" s="398"/>
      <c r="J78" s="398"/>
      <c r="K78" s="398"/>
      <c r="L78" s="398"/>
      <c r="M78" s="398"/>
      <c r="N78" s="398"/>
      <c r="O78" s="398"/>
      <c r="P78" s="398"/>
      <c r="Q78" s="398"/>
      <c r="R78" s="398"/>
      <c r="S78" s="398"/>
      <c r="T78" s="398"/>
      <c r="U78" s="398"/>
      <c r="V78" s="398"/>
      <c r="W78" s="398"/>
      <c r="X78" s="398"/>
      <c r="Y78" s="398"/>
      <c r="Z78" s="398"/>
      <c r="AA78" s="398"/>
      <c r="AB78" s="398"/>
      <c r="AC78" s="398"/>
      <c r="AD78" s="398"/>
      <c r="AE78" s="398"/>
      <c r="AF78" s="398"/>
    </row>
    <row r="79" spans="1:32" ht="15">
      <c r="A79" s="6" t="s">
        <v>405</v>
      </c>
      <c r="B79" s="398"/>
      <c r="C79" s="271"/>
      <c r="D79" s="639"/>
      <c r="E79" s="398"/>
      <c r="F79" s="398"/>
      <c r="G79" s="398"/>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row>
    <row r="80" spans="1:32" s="75" customFormat="1" ht="15">
      <c r="A80" s="6"/>
      <c r="B80" s="8" t="s">
        <v>406</v>
      </c>
      <c r="C80" s="271"/>
      <c r="D80" s="639"/>
      <c r="E80" s="398"/>
      <c r="F80" s="398"/>
      <c r="G80" s="398"/>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row>
    <row r="81" spans="1:32" s="75" customFormat="1" ht="28.5" customHeight="1">
      <c r="A81" s="398"/>
      <c r="B81" s="6"/>
      <c r="C81" s="786" t="s">
        <v>407</v>
      </c>
      <c r="D81" s="786"/>
      <c r="E81" s="786"/>
      <c r="F81" s="786"/>
      <c r="G81" s="786"/>
      <c r="H81" s="786"/>
      <c r="I81" s="786"/>
      <c r="J81" s="786"/>
      <c r="K81" s="786"/>
      <c r="L81" s="398"/>
      <c r="M81" s="398"/>
      <c r="N81" s="398"/>
      <c r="O81" s="398"/>
      <c r="P81" s="398"/>
      <c r="Q81" s="398"/>
      <c r="R81" s="398"/>
      <c r="S81" s="398"/>
      <c r="T81" s="398"/>
      <c r="U81" s="398"/>
      <c r="V81" s="398"/>
      <c r="W81" s="398"/>
      <c r="X81" s="398"/>
      <c r="Y81" s="398"/>
      <c r="Z81" s="398"/>
      <c r="AA81" s="398"/>
      <c r="AB81" s="398"/>
      <c r="AC81" s="398"/>
      <c r="AD81" s="398"/>
      <c r="AE81" s="398"/>
      <c r="AF81" s="398"/>
    </row>
    <row r="82" spans="1:32" s="75" customFormat="1" ht="26.25" thickBot="1">
      <c r="A82" s="398"/>
      <c r="B82" s="398"/>
      <c r="C82" s="398"/>
      <c r="D82" s="398"/>
      <c r="E82" s="686" t="s">
        <v>408</v>
      </c>
      <c r="F82" s="671" t="s">
        <v>409</v>
      </c>
      <c r="G82" s="398"/>
      <c r="H82" s="686" t="s">
        <v>360</v>
      </c>
      <c r="I82" s="671" t="s">
        <v>410</v>
      </c>
      <c r="J82" s="671" t="s">
        <v>342</v>
      </c>
      <c r="K82" s="686" t="s">
        <v>246</v>
      </c>
      <c r="L82" s="398"/>
      <c r="M82" s="398"/>
      <c r="N82" s="300" t="s">
        <v>370</v>
      </c>
      <c r="O82" s="106" t="s">
        <v>371</v>
      </c>
      <c r="P82" s="106" t="s">
        <v>372</v>
      </c>
      <c r="Q82" s="398"/>
      <c r="R82" s="398"/>
      <c r="S82" s="398"/>
      <c r="T82" s="398"/>
      <c r="U82" s="398"/>
      <c r="V82" s="398"/>
      <c r="W82" s="398"/>
      <c r="X82" s="398"/>
      <c r="Y82" s="398"/>
      <c r="Z82" s="398"/>
      <c r="AA82" s="398"/>
      <c r="AB82" s="398"/>
      <c r="AC82" s="398"/>
      <c r="AD82" s="398"/>
      <c r="AE82" s="398"/>
      <c r="AF82" s="398"/>
    </row>
    <row r="83" spans="1:32">
      <c r="A83" s="398"/>
      <c r="B83" s="398"/>
      <c r="C83" s="700" t="s">
        <v>149</v>
      </c>
      <c r="D83" s="140" t="s">
        <v>411</v>
      </c>
      <c r="E83" s="444">
        <v>0.2</v>
      </c>
      <c r="F83" s="144">
        <f t="shared" ref="F83:F90" si="1">E83*F$91</f>
        <v>18.879156958460893</v>
      </c>
      <c r="G83" s="398"/>
      <c r="H83" s="491">
        <f t="shared" ref="H83:H90" si="2">P83</f>
        <v>8.9999999999999993E-3</v>
      </c>
      <c r="I83" s="144">
        <f>F83-J83</f>
        <v>18.709244545834746</v>
      </c>
      <c r="J83" s="145">
        <f>H83*F83</f>
        <v>0.16991241262614803</v>
      </c>
      <c r="K83" s="487"/>
      <c r="L83" s="398"/>
      <c r="M83" s="398"/>
      <c r="N83" s="74">
        <v>0.12</v>
      </c>
      <c r="O83" s="74">
        <f>Test!E61</f>
        <v>7.4999999999999997E-2</v>
      </c>
      <c r="P83" s="74">
        <f>O83*N83</f>
        <v>8.9999999999999993E-3</v>
      </c>
      <c r="Q83" s="398"/>
      <c r="R83" s="398"/>
      <c r="S83" s="398"/>
      <c r="T83" s="398"/>
      <c r="U83" s="398"/>
      <c r="V83" s="398"/>
      <c r="W83" s="398"/>
      <c r="X83" s="398"/>
      <c r="Y83" s="398"/>
      <c r="Z83" s="398"/>
      <c r="AA83" s="398"/>
      <c r="AB83" s="398"/>
      <c r="AC83" s="398"/>
      <c r="AD83" s="398"/>
      <c r="AE83" s="398"/>
      <c r="AF83" s="398"/>
    </row>
    <row r="84" spans="1:32">
      <c r="A84" s="398"/>
      <c r="B84" s="398"/>
      <c r="C84" s="700" t="s">
        <v>150</v>
      </c>
      <c r="D84" s="140" t="s">
        <v>412</v>
      </c>
      <c r="E84" s="492">
        <v>0.16</v>
      </c>
      <c r="F84" s="144">
        <f t="shared" si="1"/>
        <v>15.103325566768714</v>
      </c>
      <c r="G84" s="398"/>
      <c r="H84" s="493">
        <f t="shared" si="2"/>
        <v>4.4999999999999997E-3</v>
      </c>
      <c r="I84" s="144">
        <f t="shared" ref="I84:I90" si="3">F84-J84</f>
        <v>15.035360601718255</v>
      </c>
      <c r="J84" s="145">
        <f t="shared" ref="J84:J90" si="4">H84*F84</f>
        <v>6.7964965050459208E-2</v>
      </c>
      <c r="K84" s="489"/>
      <c r="L84" s="398"/>
      <c r="M84" s="398"/>
      <c r="N84" s="74">
        <v>0.06</v>
      </c>
      <c r="O84" s="74">
        <f>Test!E62</f>
        <v>7.4999999999999997E-2</v>
      </c>
      <c r="P84" s="74">
        <f t="shared" ref="P84:P90" si="5">O84*N84</f>
        <v>4.4999999999999997E-3</v>
      </c>
      <c r="Q84" s="398"/>
      <c r="R84" s="398"/>
      <c r="S84" s="398"/>
      <c r="T84" s="398"/>
      <c r="U84" s="398"/>
      <c r="V84" s="398"/>
      <c r="W84" s="398"/>
      <c r="X84" s="398"/>
      <c r="Y84" s="398"/>
      <c r="Z84" s="398"/>
      <c r="AA84" s="398"/>
      <c r="AB84" s="398"/>
      <c r="AC84" s="398"/>
      <c r="AD84" s="398"/>
      <c r="AE84" s="398"/>
      <c r="AF84" s="398"/>
    </row>
    <row r="85" spans="1:32" ht="45">
      <c r="A85" s="398"/>
      <c r="B85" s="398"/>
      <c r="C85" s="700" t="s">
        <v>151</v>
      </c>
      <c r="D85" s="140" t="s">
        <v>413</v>
      </c>
      <c r="E85" s="492">
        <v>0.15</v>
      </c>
      <c r="F85" s="144">
        <f t="shared" si="1"/>
        <v>14.159367718845667</v>
      </c>
      <c r="G85" s="398"/>
      <c r="H85" s="493">
        <f t="shared" si="2"/>
        <v>1.7500000000000002E-2</v>
      </c>
      <c r="I85" s="144">
        <f t="shared" si="3"/>
        <v>13.911578783765869</v>
      </c>
      <c r="J85" s="145">
        <f t="shared" si="4"/>
        <v>0.24778893507979918</v>
      </c>
      <c r="K85" s="489"/>
      <c r="L85" s="398"/>
      <c r="M85" s="398"/>
      <c r="N85" s="74">
        <v>7.0000000000000007E-2</v>
      </c>
      <c r="O85" s="74">
        <f>Test!E63</f>
        <v>0.25</v>
      </c>
      <c r="P85" s="74">
        <f t="shared" si="5"/>
        <v>1.7500000000000002E-2</v>
      </c>
      <c r="Q85" s="398"/>
      <c r="R85" s="398"/>
      <c r="S85" s="398"/>
      <c r="T85" s="398"/>
      <c r="U85" s="398"/>
      <c r="V85" s="398"/>
      <c r="W85" s="398"/>
      <c r="X85" s="398"/>
      <c r="Y85" s="398"/>
      <c r="Z85" s="398"/>
      <c r="AA85" s="398"/>
      <c r="AB85" s="398"/>
      <c r="AC85" s="398"/>
      <c r="AD85" s="398"/>
      <c r="AE85" s="398"/>
      <c r="AF85" s="398"/>
    </row>
    <row r="86" spans="1:32" ht="56.25">
      <c r="A86" s="398"/>
      <c r="B86" s="398"/>
      <c r="C86" s="700" t="s">
        <v>152</v>
      </c>
      <c r="D86" s="140" t="s">
        <v>414</v>
      </c>
      <c r="E86" s="492">
        <v>0.1</v>
      </c>
      <c r="F86" s="144">
        <f t="shared" si="1"/>
        <v>9.4395784792304465</v>
      </c>
      <c r="G86" s="398"/>
      <c r="H86" s="493">
        <f t="shared" si="2"/>
        <v>3.5000000000000005E-3</v>
      </c>
      <c r="I86" s="144">
        <f t="shared" si="3"/>
        <v>9.4065399545531392</v>
      </c>
      <c r="J86" s="145">
        <f t="shared" si="4"/>
        <v>3.3038524677306565E-2</v>
      </c>
      <c r="K86" s="489"/>
      <c r="L86" s="398"/>
      <c r="M86" s="398"/>
      <c r="N86" s="74">
        <v>7.0000000000000007E-2</v>
      </c>
      <c r="O86" s="74">
        <f>Test!E64</f>
        <v>0.05</v>
      </c>
      <c r="P86" s="74">
        <f t="shared" si="5"/>
        <v>3.5000000000000005E-3</v>
      </c>
      <c r="Q86" s="398"/>
      <c r="R86" s="398"/>
      <c r="S86" s="398"/>
      <c r="T86" s="398"/>
      <c r="U86" s="398"/>
      <c r="V86" s="398"/>
      <c r="W86" s="398"/>
      <c r="X86" s="398"/>
      <c r="Y86" s="398"/>
      <c r="Z86" s="398"/>
      <c r="AA86" s="398"/>
      <c r="AB86" s="398"/>
      <c r="AC86" s="398"/>
      <c r="AD86" s="398"/>
      <c r="AE86" s="398"/>
      <c r="AF86" s="398"/>
    </row>
    <row r="87" spans="1:32" ht="22.5">
      <c r="A87" s="398"/>
      <c r="B87" s="398"/>
      <c r="C87" s="700" t="s">
        <v>153</v>
      </c>
      <c r="D87" s="140" t="s">
        <v>415</v>
      </c>
      <c r="E87" s="492">
        <v>0.09</v>
      </c>
      <c r="F87" s="144">
        <f t="shared" si="1"/>
        <v>8.4956206313073999</v>
      </c>
      <c r="G87" s="398"/>
      <c r="H87" s="493">
        <f t="shared" si="2"/>
        <v>3.5000000000000005E-3</v>
      </c>
      <c r="I87" s="144">
        <f t="shared" si="3"/>
        <v>8.4658859590978235</v>
      </c>
      <c r="J87" s="145">
        <f t="shared" si="4"/>
        <v>2.9734672209575905E-2</v>
      </c>
      <c r="K87" s="489"/>
      <c r="L87" s="398"/>
      <c r="M87" s="398"/>
      <c r="N87" s="74">
        <v>7.0000000000000007E-2</v>
      </c>
      <c r="O87" s="74">
        <f>Test!E65</f>
        <v>0.05</v>
      </c>
      <c r="P87" s="74">
        <f t="shared" si="5"/>
        <v>3.5000000000000005E-3</v>
      </c>
      <c r="Q87" s="398"/>
      <c r="R87" s="398"/>
      <c r="S87" s="398"/>
      <c r="T87" s="398"/>
      <c r="U87" s="398"/>
      <c r="V87" s="398"/>
      <c r="W87" s="398"/>
      <c r="X87" s="398"/>
      <c r="Y87" s="398"/>
      <c r="Z87" s="398"/>
      <c r="AA87" s="398"/>
      <c r="AB87" s="398"/>
      <c r="AC87" s="398"/>
      <c r="AD87" s="398"/>
      <c r="AE87" s="398"/>
      <c r="AF87" s="398"/>
    </row>
    <row r="88" spans="1:32" ht="22.5">
      <c r="A88" s="398"/>
      <c r="B88" s="398"/>
      <c r="C88" s="700" t="s">
        <v>154</v>
      </c>
      <c r="D88" s="140" t="s">
        <v>416</v>
      </c>
      <c r="E88" s="492">
        <v>7.0000000000000007E-2</v>
      </c>
      <c r="F88" s="144">
        <f t="shared" si="1"/>
        <v>6.607704935461312</v>
      </c>
      <c r="G88" s="398"/>
      <c r="H88" s="493">
        <f t="shared" si="2"/>
        <v>3.5000000000000005E-3</v>
      </c>
      <c r="I88" s="144">
        <f t="shared" si="3"/>
        <v>6.5845779681871974</v>
      </c>
      <c r="J88" s="145">
        <f t="shared" si="4"/>
        <v>2.3126967274114594E-2</v>
      </c>
      <c r="K88" s="489"/>
      <c r="L88" s="398"/>
      <c r="M88" s="398"/>
      <c r="N88" s="74">
        <v>7.0000000000000007E-2</v>
      </c>
      <c r="O88" s="74">
        <f>Test!E66</f>
        <v>0.05</v>
      </c>
      <c r="P88" s="74">
        <f t="shared" si="5"/>
        <v>3.5000000000000005E-3</v>
      </c>
      <c r="Q88" s="398"/>
      <c r="R88" s="398"/>
      <c r="S88" s="398"/>
      <c r="T88" s="398"/>
      <c r="U88" s="398"/>
      <c r="V88" s="398"/>
      <c r="W88" s="398"/>
      <c r="X88" s="398"/>
      <c r="Y88" s="398"/>
      <c r="Z88" s="398"/>
      <c r="AA88" s="398"/>
      <c r="AB88" s="398"/>
      <c r="AC88" s="398"/>
      <c r="AD88" s="398"/>
      <c r="AE88" s="398"/>
      <c r="AF88" s="398"/>
    </row>
    <row r="89" spans="1:32" ht="13.5" thickBot="1">
      <c r="A89" s="398"/>
      <c r="B89" s="398"/>
      <c r="C89" s="700" t="s">
        <v>155</v>
      </c>
      <c r="D89" s="140" t="s">
        <v>417</v>
      </c>
      <c r="E89" s="488">
        <v>0.11</v>
      </c>
      <c r="F89" s="144">
        <f t="shared" si="1"/>
        <v>10.38353632715349</v>
      </c>
      <c r="G89" s="398"/>
      <c r="H89" s="493">
        <f t="shared" si="2"/>
        <v>3.5000000000000005E-3</v>
      </c>
      <c r="I89" s="144">
        <f t="shared" si="3"/>
        <v>10.347193950008453</v>
      </c>
      <c r="J89" s="145">
        <f t="shared" si="4"/>
        <v>3.634237714503722E-2</v>
      </c>
      <c r="K89" s="489"/>
      <c r="L89" s="398"/>
      <c r="M89" s="398"/>
      <c r="N89" s="74">
        <v>7.0000000000000007E-2</v>
      </c>
      <c r="O89" s="74">
        <f>Test!E67</f>
        <v>0.05</v>
      </c>
      <c r="P89" s="74">
        <f t="shared" si="5"/>
        <v>3.5000000000000005E-3</v>
      </c>
      <c r="Q89" s="398"/>
      <c r="R89" s="398"/>
      <c r="S89" s="398"/>
      <c r="T89" s="398"/>
      <c r="U89" s="398"/>
      <c r="V89" s="398"/>
      <c r="W89" s="398"/>
      <c r="X89" s="398"/>
      <c r="Y89" s="398"/>
      <c r="Z89" s="398"/>
      <c r="AA89" s="398"/>
      <c r="AB89" s="398"/>
      <c r="AC89" s="398"/>
      <c r="AD89" s="398"/>
      <c r="AE89" s="398"/>
      <c r="AF89" s="398"/>
    </row>
    <row r="90" spans="1:32" ht="34.5" thickBot="1">
      <c r="A90" s="398"/>
      <c r="B90" s="398"/>
      <c r="C90" s="700" t="s">
        <v>156</v>
      </c>
      <c r="D90" s="150" t="s">
        <v>418</v>
      </c>
      <c r="E90" s="141">
        <f>1-SUM(E83:E89)</f>
        <v>0.12</v>
      </c>
      <c r="F90" s="92">
        <f t="shared" si="1"/>
        <v>11.327494175076534</v>
      </c>
      <c r="G90" s="398"/>
      <c r="H90" s="494">
        <f t="shared" si="2"/>
        <v>2.5000000000000005E-3</v>
      </c>
      <c r="I90" s="144">
        <f t="shared" si="3"/>
        <v>11.299175439638843</v>
      </c>
      <c r="J90" s="145">
        <f t="shared" si="4"/>
        <v>2.8318735437691343E-2</v>
      </c>
      <c r="K90" s="490"/>
      <c r="L90" s="398"/>
      <c r="M90" s="398"/>
      <c r="N90" s="74">
        <v>0.05</v>
      </c>
      <c r="O90" s="74">
        <f>Test!E68</f>
        <v>0.05</v>
      </c>
      <c r="P90" s="74">
        <f t="shared" si="5"/>
        <v>2.5000000000000005E-3</v>
      </c>
      <c r="Q90" s="398"/>
      <c r="R90" s="398"/>
      <c r="S90" s="398"/>
      <c r="T90" s="398"/>
      <c r="U90" s="398"/>
      <c r="V90" s="398"/>
      <c r="W90" s="398"/>
      <c r="X90" s="398"/>
      <c r="Y90" s="398"/>
      <c r="Z90" s="398"/>
      <c r="AA90" s="398"/>
      <c r="AB90" s="398"/>
      <c r="AC90" s="398"/>
      <c r="AD90" s="398"/>
      <c r="AE90" s="398"/>
      <c r="AF90" s="398"/>
    </row>
    <row r="91" spans="1:32" ht="13.5" thickTop="1">
      <c r="A91" s="398"/>
      <c r="B91" s="398"/>
      <c r="C91" s="151" t="s">
        <v>419</v>
      </c>
      <c r="D91" s="639"/>
      <c r="E91" s="152">
        <f>SUM(E83:E90)</f>
        <v>1</v>
      </c>
      <c r="F91" s="93">
        <f>ITStaff</f>
        <v>94.395784792304454</v>
      </c>
      <c r="G91" s="398"/>
      <c r="H91" s="143">
        <f>J91/F91</f>
        <v>6.7400000000000003E-3</v>
      </c>
      <c r="I91" s="93">
        <f>SUM(I83:I90)</f>
        <v>93.759557202804331</v>
      </c>
      <c r="J91" s="93">
        <f>SUM(J83:J90)</f>
        <v>0.63622758950013203</v>
      </c>
      <c r="K91" s="398"/>
      <c r="L91" s="398"/>
      <c r="M91" s="398"/>
      <c r="N91" s="398"/>
      <c r="O91" s="398"/>
      <c r="P91" s="398"/>
      <c r="Q91" s="398"/>
      <c r="R91" s="398"/>
      <c r="S91" s="398"/>
      <c r="T91" s="398"/>
      <c r="U91" s="398"/>
      <c r="V91" s="398"/>
      <c r="W91" s="398"/>
      <c r="X91" s="398"/>
      <c r="Y91" s="398"/>
      <c r="Z91" s="398"/>
      <c r="AA91" s="398"/>
      <c r="AB91" s="398"/>
      <c r="AC91" s="398"/>
      <c r="AD91" s="398"/>
      <c r="AE91" s="398"/>
      <c r="AF91" s="398"/>
    </row>
    <row r="92" spans="1:32">
      <c r="A92" s="398"/>
      <c r="B92" s="398"/>
      <c r="C92" s="398"/>
      <c r="D92" s="398"/>
      <c r="E92" s="398"/>
      <c r="F92" s="398"/>
      <c r="G92" s="398"/>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row>
    <row r="93" spans="1:32" s="75" customFormat="1" ht="15">
      <c r="A93" s="6"/>
      <c r="B93" s="8" t="s">
        <v>420</v>
      </c>
      <c r="C93" s="271"/>
      <c r="D93" s="639"/>
      <c r="E93" s="398"/>
      <c r="F93" s="398"/>
      <c r="G93" s="398"/>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row>
    <row r="94" spans="1:32" ht="38.25">
      <c r="A94" s="398"/>
      <c r="B94" s="398"/>
      <c r="C94" s="398"/>
      <c r="D94" s="398"/>
      <c r="E94" s="671" t="s">
        <v>421</v>
      </c>
      <c r="F94" s="671" t="s">
        <v>422</v>
      </c>
      <c r="G94" s="671" t="s">
        <v>423</v>
      </c>
      <c r="H94" s="671" t="s">
        <v>424</v>
      </c>
      <c r="I94" s="671" t="s">
        <v>425</v>
      </c>
      <c r="J94" s="671" t="s">
        <v>426</v>
      </c>
      <c r="K94" s="686" t="s">
        <v>246</v>
      </c>
      <c r="L94" s="398"/>
      <c r="M94" s="398"/>
      <c r="N94" s="398"/>
      <c r="O94" s="398"/>
      <c r="P94" s="398"/>
      <c r="Q94" s="398"/>
      <c r="R94" s="398"/>
      <c r="S94" s="398"/>
      <c r="T94" s="398"/>
      <c r="U94" s="398"/>
      <c r="V94" s="398"/>
      <c r="W94" s="398"/>
      <c r="X94" s="398"/>
      <c r="Y94" s="398"/>
      <c r="Z94" s="398"/>
      <c r="AA94" s="398"/>
      <c r="AB94" s="398"/>
      <c r="AC94" s="398"/>
      <c r="AD94" s="398"/>
      <c r="AE94" s="398"/>
      <c r="AF94" s="398"/>
    </row>
    <row r="95" spans="1:32">
      <c r="A95" s="398"/>
      <c r="B95" s="398"/>
      <c r="C95" s="700" t="str">
        <f>C83</f>
        <v>Application development</v>
      </c>
      <c r="D95" s="398"/>
      <c r="E95" s="569">
        <f>Profile!F89</f>
        <v>123466.38575416393</v>
      </c>
      <c r="F95" s="569">
        <f t="shared" ref="F95:F102" si="6">E95*F83/1000</f>
        <v>2330.9412757467408</v>
      </c>
      <c r="G95" s="154">
        <f t="shared" ref="G95:G102" si="7">F95/F$103</f>
        <v>0.21549547122798748</v>
      </c>
      <c r="H95" s="568">
        <f t="shared" ref="H95:H102" si="8">F95*1000/PCUsers</f>
        <v>846.93964377657539</v>
      </c>
      <c r="I95" s="569">
        <f t="shared" ref="I95:I102" si="9">H95-J95</f>
        <v>839.31718698258624</v>
      </c>
      <c r="J95" s="570">
        <f t="shared" ref="J95:J102" si="10">H95*H83</f>
        <v>7.6224567939891781</v>
      </c>
      <c r="K95" s="487"/>
      <c r="L95" s="398"/>
      <c r="M95" s="398"/>
      <c r="N95" s="398"/>
      <c r="O95" s="398"/>
      <c r="P95" s="398"/>
      <c r="Q95" s="398"/>
      <c r="R95" s="398"/>
      <c r="S95" s="398"/>
      <c r="T95" s="398"/>
      <c r="U95" s="398"/>
      <c r="V95" s="398"/>
      <c r="W95" s="398"/>
      <c r="X95" s="398"/>
      <c r="Y95" s="398"/>
      <c r="Z95" s="398"/>
      <c r="AA95" s="398"/>
      <c r="AB95" s="398"/>
      <c r="AC95" s="398"/>
      <c r="AD95" s="398"/>
      <c r="AE95" s="398"/>
      <c r="AF95" s="398"/>
    </row>
    <row r="96" spans="1:32">
      <c r="A96" s="398"/>
      <c r="B96" s="398"/>
      <c r="C96" s="700" t="str">
        <f t="shared" ref="C96:C102" si="11">C84</f>
        <v>Application support</v>
      </c>
      <c r="D96" s="398"/>
      <c r="E96" s="569">
        <f>Profile!F90</f>
        <v>114463.62845958948</v>
      </c>
      <c r="F96" s="569">
        <f t="shared" si="6"/>
        <v>1728.7814461788328</v>
      </c>
      <c r="G96" s="154">
        <f t="shared" si="7"/>
        <v>0.15982580782742406</v>
      </c>
      <c r="H96" s="568">
        <f t="shared" si="8"/>
        <v>628.14690246762677</v>
      </c>
      <c r="I96" s="569">
        <f t="shared" si="9"/>
        <v>625.32024140652243</v>
      </c>
      <c r="J96" s="570">
        <f t="shared" si="10"/>
        <v>2.8266610611043204</v>
      </c>
      <c r="K96" s="489"/>
      <c r="L96" s="398"/>
      <c r="M96" s="398"/>
      <c r="N96" s="398"/>
      <c r="O96" s="398"/>
      <c r="P96" s="398"/>
      <c r="Q96" s="398"/>
      <c r="R96" s="398"/>
      <c r="S96" s="398"/>
      <c r="T96" s="398"/>
      <c r="U96" s="398"/>
      <c r="V96" s="398"/>
      <c r="W96" s="398"/>
      <c r="X96" s="398"/>
      <c r="Y96" s="398"/>
      <c r="Z96" s="398"/>
      <c r="AA96" s="398"/>
      <c r="AB96" s="398"/>
      <c r="AC96" s="398"/>
      <c r="AD96" s="398"/>
      <c r="AE96" s="398"/>
      <c r="AF96" s="398"/>
    </row>
    <row r="97" spans="1:32">
      <c r="A97" s="398"/>
      <c r="B97" s="398"/>
      <c r="C97" s="700" t="str">
        <f t="shared" si="11"/>
        <v>Data center</v>
      </c>
      <c r="D97" s="398"/>
      <c r="E97" s="569">
        <f>Profile!F91</f>
        <v>119608.0611993463</v>
      </c>
      <c r="F97" s="569">
        <f t="shared" si="6"/>
        <v>1693.5745206597408</v>
      </c>
      <c r="G97" s="154">
        <f t="shared" si="7"/>
        <v>0.15657092831408462</v>
      </c>
      <c r="H97" s="568">
        <f t="shared" si="8"/>
        <v>615.35458493141789</v>
      </c>
      <c r="I97" s="569">
        <f t="shared" si="9"/>
        <v>604.58587969511802</v>
      </c>
      <c r="J97" s="570">
        <f t="shared" si="10"/>
        <v>10.768705236299814</v>
      </c>
      <c r="K97" s="489"/>
      <c r="L97" s="398"/>
      <c r="M97" s="398"/>
      <c r="N97" s="398"/>
      <c r="O97" s="398"/>
      <c r="P97" s="398"/>
      <c r="Q97" s="398"/>
      <c r="R97" s="398"/>
      <c r="S97" s="398"/>
      <c r="T97" s="398"/>
      <c r="U97" s="398"/>
      <c r="V97" s="398"/>
      <c r="W97" s="398"/>
      <c r="X97" s="398"/>
      <c r="Y97" s="398"/>
      <c r="Z97" s="398"/>
      <c r="AA97" s="398"/>
      <c r="AB97" s="398"/>
      <c r="AC97" s="398"/>
      <c r="AD97" s="398"/>
      <c r="AE97" s="398"/>
      <c r="AF97" s="398"/>
    </row>
    <row r="98" spans="1:32">
      <c r="A98" s="398"/>
      <c r="B98" s="398"/>
      <c r="C98" s="700" t="str">
        <f t="shared" si="11"/>
        <v>Desktop / Client</v>
      </c>
      <c r="D98" s="398"/>
      <c r="E98" s="569">
        <f>Profile!F92</f>
        <v>106103.92525748462</v>
      </c>
      <c r="F98" s="569">
        <f t="shared" si="6"/>
        <v>1001.5763294224275</v>
      </c>
      <c r="G98" s="154">
        <f t="shared" si="7"/>
        <v>9.259571029327586E-2</v>
      </c>
      <c r="H98" s="568">
        <f t="shared" si="8"/>
        <v>363.91937818524718</v>
      </c>
      <c r="I98" s="569">
        <f t="shared" si="9"/>
        <v>362.6456603615988</v>
      </c>
      <c r="J98" s="570">
        <f t="shared" si="10"/>
        <v>1.2737178236483653</v>
      </c>
      <c r="K98" s="489"/>
      <c r="L98" s="398"/>
      <c r="M98" s="398"/>
      <c r="N98" s="398"/>
      <c r="O98" s="398"/>
      <c r="P98" s="398"/>
      <c r="Q98" s="398"/>
      <c r="R98" s="398"/>
      <c r="S98" s="398"/>
      <c r="T98" s="398"/>
      <c r="U98" s="398"/>
      <c r="V98" s="398"/>
      <c r="W98" s="398"/>
      <c r="X98" s="398"/>
      <c r="Y98" s="398"/>
      <c r="Z98" s="398"/>
      <c r="AA98" s="398"/>
      <c r="AB98" s="398"/>
      <c r="AC98" s="398"/>
      <c r="AD98" s="398"/>
      <c r="AE98" s="398"/>
      <c r="AF98" s="398"/>
    </row>
    <row r="99" spans="1:32">
      <c r="A99" s="398"/>
      <c r="B99" s="398"/>
      <c r="C99" s="700" t="str">
        <f t="shared" si="11"/>
        <v>Help desk</v>
      </c>
      <c r="D99" s="398"/>
      <c r="E99" s="569">
        <f>Profile!F93</f>
        <v>70735.950171656426</v>
      </c>
      <c r="F99" s="569">
        <f t="shared" si="6"/>
        <v>600.94579765345657</v>
      </c>
      <c r="G99" s="154">
        <f t="shared" si="7"/>
        <v>5.555742617596552E-2</v>
      </c>
      <c r="H99" s="568">
        <f t="shared" si="8"/>
        <v>218.35162691114834</v>
      </c>
      <c r="I99" s="569">
        <f t="shared" si="9"/>
        <v>217.58739621695932</v>
      </c>
      <c r="J99" s="570">
        <f t="shared" si="10"/>
        <v>0.76423069418901934</v>
      </c>
      <c r="K99" s="489"/>
      <c r="L99" s="398"/>
      <c r="M99" s="398"/>
      <c r="N99" s="398"/>
      <c r="O99" s="398"/>
      <c r="P99" s="398"/>
      <c r="Q99" s="398"/>
      <c r="R99" s="398"/>
      <c r="S99" s="398"/>
      <c r="T99" s="398"/>
      <c r="U99" s="398"/>
      <c r="V99" s="398"/>
      <c r="W99" s="398"/>
      <c r="X99" s="398"/>
      <c r="Y99" s="398"/>
      <c r="Z99" s="398"/>
      <c r="AA99" s="398"/>
      <c r="AB99" s="398"/>
      <c r="AC99" s="398"/>
      <c r="AD99" s="398"/>
      <c r="AE99" s="398"/>
      <c r="AF99" s="398"/>
    </row>
    <row r="100" spans="1:32">
      <c r="A100" s="398"/>
      <c r="B100" s="398"/>
      <c r="C100" s="700" t="str">
        <f t="shared" si="11"/>
        <v>Voice Network</v>
      </c>
      <c r="D100" s="398"/>
      <c r="E100" s="569">
        <f>Profile!F94</f>
        <v>102888.65479513659</v>
      </c>
      <c r="F100" s="569">
        <f t="shared" si="6"/>
        <v>679.85787209279931</v>
      </c>
      <c r="G100" s="154">
        <f t="shared" si="7"/>
        <v>6.2852845774829677E-2</v>
      </c>
      <c r="H100" s="568">
        <f t="shared" si="8"/>
        <v>247.02406276816779</v>
      </c>
      <c r="I100" s="569">
        <f t="shared" si="9"/>
        <v>246.1594785484792</v>
      </c>
      <c r="J100" s="570">
        <f t="shared" si="10"/>
        <v>0.86458421968858745</v>
      </c>
      <c r="K100" s="489"/>
      <c r="L100" s="398"/>
      <c r="M100" s="398"/>
      <c r="N100" s="398"/>
      <c r="O100" s="398"/>
      <c r="P100" s="398"/>
      <c r="Q100" s="398"/>
      <c r="R100" s="398"/>
      <c r="S100" s="398"/>
      <c r="T100" s="398"/>
      <c r="U100" s="398"/>
      <c r="V100" s="398"/>
      <c r="W100" s="398"/>
      <c r="X100" s="398"/>
      <c r="Y100" s="398"/>
      <c r="Z100" s="398"/>
      <c r="AA100" s="398"/>
      <c r="AB100" s="398"/>
      <c r="AC100" s="398"/>
      <c r="AD100" s="398"/>
      <c r="AE100" s="398"/>
      <c r="AF100" s="398"/>
    </row>
    <row r="101" spans="1:32">
      <c r="A101" s="398"/>
      <c r="B101" s="398"/>
      <c r="C101" s="700" t="str">
        <f t="shared" si="11"/>
        <v>Data Network</v>
      </c>
      <c r="D101" s="398"/>
      <c r="E101" s="569">
        <f>Profile!F95</f>
        <v>107390.03344242382</v>
      </c>
      <c r="F101" s="569">
        <f t="shared" si="6"/>
        <v>1115.088313423636</v>
      </c>
      <c r="G101" s="154">
        <f t="shared" si="7"/>
        <v>0.10308989079318047</v>
      </c>
      <c r="H101" s="568">
        <f t="shared" si="8"/>
        <v>405.16357437957515</v>
      </c>
      <c r="I101" s="569">
        <f t="shared" si="9"/>
        <v>403.74550186924665</v>
      </c>
      <c r="J101" s="570">
        <f t="shared" si="10"/>
        <v>1.4180725103285132</v>
      </c>
      <c r="K101" s="489"/>
      <c r="L101" s="398"/>
      <c r="M101" s="398"/>
      <c r="N101" s="398"/>
      <c r="O101" s="398"/>
      <c r="P101" s="398"/>
      <c r="Q101" s="398"/>
      <c r="R101" s="398"/>
      <c r="S101" s="398"/>
      <c r="T101" s="398"/>
      <c r="U101" s="398"/>
      <c r="V101" s="398"/>
      <c r="W101" s="398"/>
      <c r="X101" s="398"/>
      <c r="Y101" s="398"/>
      <c r="Z101" s="398"/>
      <c r="AA101" s="398"/>
      <c r="AB101" s="398"/>
      <c r="AC101" s="398"/>
      <c r="AD101" s="398"/>
      <c r="AE101" s="398"/>
      <c r="AF101" s="398"/>
    </row>
    <row r="102" spans="1:32" ht="26.25" thickBot="1">
      <c r="A102" s="398"/>
      <c r="B102" s="398"/>
      <c r="C102" s="700" t="str">
        <f t="shared" si="11"/>
        <v>Management &amp; Administration</v>
      </c>
      <c r="D102" s="398"/>
      <c r="E102" s="569">
        <f>Profile!F96</f>
        <v>147066.4709477984</v>
      </c>
      <c r="F102" s="569">
        <f t="shared" si="6"/>
        <v>1665.8945930102489</v>
      </c>
      <c r="G102" s="154">
        <f t="shared" si="7"/>
        <v>0.15401191959325231</v>
      </c>
      <c r="H102" s="568">
        <f t="shared" si="8"/>
        <v>605.29717666157126</v>
      </c>
      <c r="I102" s="569">
        <f t="shared" si="9"/>
        <v>603.78393371991729</v>
      </c>
      <c r="J102" s="570">
        <f t="shared" si="10"/>
        <v>1.5132429416539284</v>
      </c>
      <c r="K102" s="490"/>
      <c r="L102" s="398"/>
      <c r="M102" s="398"/>
      <c r="N102" s="398"/>
      <c r="O102" s="398"/>
      <c r="P102" s="398"/>
      <c r="Q102" s="398"/>
      <c r="R102" s="398"/>
      <c r="S102" s="398"/>
      <c r="T102" s="398"/>
      <c r="U102" s="398"/>
      <c r="V102" s="398"/>
      <c r="W102" s="398"/>
      <c r="X102" s="398"/>
      <c r="Y102" s="398"/>
      <c r="Z102" s="398"/>
      <c r="AA102" s="398"/>
      <c r="AB102" s="398"/>
      <c r="AC102" s="398"/>
      <c r="AD102" s="398"/>
      <c r="AE102" s="398"/>
      <c r="AF102" s="398"/>
    </row>
    <row r="103" spans="1:32" ht="13.5" thickTop="1">
      <c r="A103" s="398"/>
      <c r="B103" s="398"/>
      <c r="C103" s="151" t="s">
        <v>419</v>
      </c>
      <c r="D103" s="398"/>
      <c r="E103" s="571">
        <f>SUMPRODUCT(E83:E90,E95:E102)</f>
        <v>114588.38095352858</v>
      </c>
      <c r="F103" s="571">
        <f>SUM(F95:F102)</f>
        <v>10816.660148187882</v>
      </c>
      <c r="G103" s="152">
        <f>SUM(G95:G102)</f>
        <v>0.99999999999999989</v>
      </c>
      <c r="H103" s="571">
        <f>SUM(H95:H102)</f>
        <v>3930.1969500813293</v>
      </c>
      <c r="I103" s="571">
        <f>SUM(I95:I102)</f>
        <v>3903.1452788004281</v>
      </c>
      <c r="J103" s="571">
        <f>SUM(J95:J102)</f>
        <v>27.051671280901729</v>
      </c>
      <c r="K103" s="398"/>
      <c r="L103" s="398"/>
      <c r="M103" s="398"/>
      <c r="N103" s="398"/>
      <c r="O103" s="398"/>
      <c r="P103" s="398"/>
      <c r="Q103" s="398"/>
      <c r="R103" s="398"/>
      <c r="S103" s="398"/>
      <c r="T103" s="398"/>
      <c r="U103" s="398"/>
      <c r="V103" s="398"/>
      <c r="W103" s="398"/>
      <c r="X103" s="398"/>
      <c r="Y103" s="398"/>
      <c r="Z103" s="398"/>
      <c r="AA103" s="398"/>
      <c r="AB103" s="398"/>
      <c r="AC103" s="398"/>
      <c r="AD103" s="398"/>
      <c r="AE103" s="398"/>
      <c r="AF103" s="398"/>
    </row>
    <row r="104" spans="1:32" ht="15.75" thickBot="1">
      <c r="A104" s="6" t="s">
        <v>259</v>
      </c>
      <c r="B104" s="398"/>
      <c r="C104" s="271"/>
      <c r="D104" s="398"/>
      <c r="E104" s="398"/>
      <c r="F104" s="398"/>
      <c r="G104" s="398"/>
      <c r="H104" s="398"/>
      <c r="I104" s="398"/>
      <c r="J104" s="398"/>
      <c r="K104" s="398"/>
      <c r="L104" s="398"/>
      <c r="M104" s="398"/>
      <c r="N104" s="398"/>
      <c r="O104" s="398"/>
      <c r="P104" s="398"/>
      <c r="Q104" s="398"/>
      <c r="R104" s="398"/>
      <c r="S104" s="398"/>
      <c r="T104" s="398"/>
      <c r="U104" s="398"/>
      <c r="V104" s="398"/>
      <c r="W104" s="398"/>
      <c r="X104" s="398"/>
      <c r="Y104" s="398"/>
      <c r="Z104" s="398"/>
      <c r="AA104" s="398"/>
      <c r="AB104" s="398"/>
      <c r="AC104" s="398"/>
      <c r="AD104" s="398"/>
      <c r="AE104" s="398"/>
      <c r="AF104" s="398"/>
    </row>
    <row r="105" spans="1:32" ht="13.5" thickTop="1">
      <c r="A105" s="398"/>
      <c r="B105" s="398"/>
      <c r="C105" s="155" t="s">
        <v>427</v>
      </c>
      <c r="D105" s="398"/>
      <c r="E105" s="398"/>
      <c r="F105" s="571">
        <f>SUM(F57,F64,F70,F103,F77)</f>
        <v>41531.000664562198</v>
      </c>
      <c r="G105" s="571">
        <f>SUM(G57,G64,G70,H103,G77)</f>
        <v>15090.148891571964</v>
      </c>
      <c r="H105" s="91">
        <f>J105/G105</f>
        <v>6.4079586172497514E-3</v>
      </c>
      <c r="I105" s="571">
        <f>SUM(I57,I64,I70,I103,I77)</f>
        <v>14993.451841946635</v>
      </c>
      <c r="J105" s="571">
        <f>SUM(J57,J64,J70,J103,J77)</f>
        <v>96.697049625330351</v>
      </c>
      <c r="K105" s="398"/>
      <c r="L105" s="398"/>
      <c r="M105" s="398"/>
      <c r="N105" s="398"/>
      <c r="O105" s="398"/>
      <c r="P105" s="398"/>
      <c r="Q105" s="398"/>
      <c r="R105" s="398"/>
      <c r="S105" s="398"/>
      <c r="T105" s="398"/>
      <c r="U105" s="398"/>
      <c r="V105" s="398"/>
      <c r="W105" s="398"/>
      <c r="X105" s="398"/>
      <c r="Y105" s="398"/>
      <c r="Z105" s="398"/>
      <c r="AA105" s="398"/>
      <c r="AB105" s="398"/>
      <c r="AC105" s="398"/>
      <c r="AD105" s="398"/>
      <c r="AE105" s="398"/>
      <c r="AF105" s="398"/>
    </row>
    <row r="106" spans="1:32">
      <c r="A106" s="398"/>
      <c r="B106" s="398"/>
      <c r="C106" s="398"/>
      <c r="D106" s="398"/>
      <c r="E106" s="398"/>
      <c r="F106" s="398"/>
      <c r="G106" s="398"/>
      <c r="H106" s="398"/>
      <c r="I106" s="398"/>
      <c r="J106" s="398"/>
      <c r="K106" s="398"/>
      <c r="L106" s="398"/>
      <c r="M106" s="398"/>
      <c r="N106" s="398"/>
      <c r="O106" s="398"/>
      <c r="P106" s="398"/>
      <c r="Q106" s="398"/>
      <c r="R106" s="398"/>
      <c r="S106" s="398"/>
      <c r="T106" s="398"/>
      <c r="U106" s="398"/>
      <c r="V106" s="398"/>
      <c r="W106" s="398"/>
      <c r="X106" s="398"/>
      <c r="Y106" s="398"/>
      <c r="Z106" s="398"/>
      <c r="AA106" s="398"/>
      <c r="AB106" s="398"/>
      <c r="AC106" s="398"/>
      <c r="AD106" s="398"/>
      <c r="AE106" s="398"/>
      <c r="AF106" s="398"/>
    </row>
    <row r="107" spans="1:32">
      <c r="A107" s="398"/>
      <c r="B107" s="398"/>
      <c r="C107" s="398"/>
      <c r="D107" s="398"/>
      <c r="E107" s="398"/>
      <c r="F107" s="398"/>
      <c r="G107" s="398"/>
      <c r="H107" s="398"/>
      <c r="I107" s="398"/>
      <c r="J107" s="398"/>
      <c r="K107" s="398"/>
      <c r="L107" s="398"/>
      <c r="M107" s="398"/>
      <c r="N107" s="398"/>
      <c r="O107" s="398"/>
      <c r="P107" s="398"/>
      <c r="Q107" s="398"/>
      <c r="R107" s="398"/>
      <c r="S107" s="398"/>
      <c r="T107" s="398"/>
      <c r="U107" s="398"/>
      <c r="V107" s="398"/>
      <c r="W107" s="398"/>
      <c r="X107" s="398"/>
      <c r="Y107" s="398"/>
      <c r="Z107" s="398"/>
      <c r="AA107" s="398"/>
      <c r="AB107" s="398"/>
      <c r="AC107" s="398"/>
      <c r="AD107" s="398"/>
      <c r="AE107" s="398"/>
      <c r="AF107" s="398"/>
    </row>
    <row r="108" spans="1:32">
      <c r="A108" s="398"/>
      <c r="B108" s="398"/>
      <c r="C108" s="398"/>
      <c r="D108" s="398"/>
      <c r="E108" s="398"/>
      <c r="F108" s="398"/>
      <c r="G108" s="398"/>
      <c r="H108" s="398"/>
      <c r="I108" s="398"/>
      <c r="J108" s="398"/>
      <c r="K108" s="398"/>
      <c r="L108" s="398"/>
      <c r="M108" s="398"/>
      <c r="N108" s="37" t="s">
        <v>232</v>
      </c>
      <c r="O108" s="398"/>
      <c r="P108" s="398"/>
      <c r="Q108" s="398"/>
      <c r="R108" s="398"/>
      <c r="S108" s="398"/>
      <c r="T108" s="398"/>
      <c r="U108" s="398"/>
      <c r="V108" s="398"/>
      <c r="W108" s="398"/>
      <c r="X108" s="398"/>
      <c r="Y108" s="398"/>
      <c r="Z108" s="398"/>
      <c r="AA108" s="398"/>
      <c r="AB108" s="398"/>
      <c r="AC108" s="398"/>
      <c r="AD108" s="398"/>
      <c r="AE108" s="398"/>
      <c r="AF108" s="398"/>
    </row>
    <row r="109" spans="1:32">
      <c r="A109" s="398"/>
      <c r="B109" s="398"/>
      <c r="C109" s="398"/>
      <c r="D109" s="398"/>
      <c r="E109" s="398"/>
      <c r="F109" s="398"/>
      <c r="G109" s="398"/>
      <c r="H109" s="398"/>
      <c r="I109" s="398"/>
      <c r="J109" s="398"/>
      <c r="K109" s="398"/>
      <c r="L109" s="398"/>
      <c r="M109" s="398"/>
      <c r="N109" s="270" t="s">
        <v>10</v>
      </c>
      <c r="O109" s="181" t="s">
        <v>428</v>
      </c>
      <c r="P109" s="181" t="s">
        <v>429</v>
      </c>
      <c r="Q109" s="398"/>
      <c r="R109" s="398"/>
      <c r="S109" s="398"/>
      <c r="T109" s="398"/>
      <c r="U109" s="398"/>
      <c r="V109" s="398"/>
      <c r="W109" s="398"/>
      <c r="X109" s="398"/>
      <c r="Y109" s="398"/>
      <c r="Z109" s="398"/>
      <c r="AA109" s="398"/>
      <c r="AB109" s="398"/>
      <c r="AC109" s="398"/>
      <c r="AD109" s="398"/>
      <c r="AE109" s="398"/>
      <c r="AF109" s="398"/>
    </row>
    <row r="110" spans="1:32">
      <c r="A110" s="398"/>
      <c r="B110" s="398"/>
      <c r="C110" s="398"/>
      <c r="D110" s="398"/>
      <c r="E110" s="398"/>
      <c r="F110" s="398"/>
      <c r="G110" s="398"/>
      <c r="H110" s="398"/>
      <c r="I110" s="398"/>
      <c r="J110" s="398"/>
      <c r="K110" s="398"/>
      <c r="L110" s="398"/>
      <c r="M110" s="398"/>
      <c r="N110" s="270" t="s">
        <v>235</v>
      </c>
      <c r="O110" s="181" t="s">
        <v>430</v>
      </c>
      <c r="P110" s="181" t="s">
        <v>431</v>
      </c>
      <c r="Q110" s="398"/>
      <c r="R110" s="398"/>
      <c r="S110" s="398"/>
      <c r="T110" s="398"/>
      <c r="U110" s="398"/>
      <c r="V110" s="398"/>
      <c r="W110" s="398"/>
      <c r="X110" s="398"/>
      <c r="Y110" s="398"/>
      <c r="Z110" s="398"/>
      <c r="AA110" s="398"/>
      <c r="AB110" s="398"/>
      <c r="AC110" s="398"/>
      <c r="AD110" s="398"/>
      <c r="AE110" s="398"/>
      <c r="AF110" s="398"/>
    </row>
    <row r="111" spans="1:32">
      <c r="A111" s="398"/>
      <c r="B111" s="398"/>
      <c r="C111" s="398"/>
      <c r="D111" s="398"/>
      <c r="E111" s="398"/>
      <c r="F111" s="398"/>
      <c r="G111" s="398"/>
      <c r="H111" s="398"/>
      <c r="I111" s="398"/>
      <c r="J111" s="398"/>
      <c r="K111" s="398"/>
      <c r="L111" s="398"/>
      <c r="M111" s="398"/>
      <c r="N111" s="270" t="s">
        <v>238</v>
      </c>
      <c r="O111" s="181"/>
      <c r="P111" s="181" t="s">
        <v>432</v>
      </c>
      <c r="Q111" s="398"/>
      <c r="R111" s="398"/>
      <c r="S111" s="398"/>
      <c r="T111" s="398"/>
      <c r="U111" s="398"/>
      <c r="V111" s="398"/>
      <c r="W111" s="398"/>
      <c r="X111" s="398"/>
      <c r="Y111" s="398"/>
      <c r="Z111" s="398"/>
      <c r="AA111" s="398"/>
      <c r="AB111" s="398"/>
      <c r="AC111" s="398"/>
      <c r="AD111" s="398"/>
      <c r="AE111" s="398"/>
      <c r="AF111" s="398"/>
    </row>
    <row r="112" spans="1:32">
      <c r="A112" s="398"/>
      <c r="B112" s="398"/>
      <c r="C112" s="398"/>
      <c r="D112" s="398"/>
      <c r="E112" s="398"/>
      <c r="F112" s="398"/>
      <c r="G112" s="398"/>
      <c r="H112" s="398"/>
      <c r="I112" s="398"/>
      <c r="J112" s="398"/>
      <c r="K112" s="398"/>
      <c r="L112" s="398"/>
      <c r="M112" s="398"/>
      <c r="N112" s="77" t="s">
        <v>239</v>
      </c>
      <c r="O112" s="181"/>
      <c r="P112" s="181"/>
      <c r="Q112" s="398"/>
      <c r="R112" s="398"/>
      <c r="S112" s="398"/>
      <c r="T112" s="398"/>
      <c r="U112" s="398"/>
      <c r="V112" s="398"/>
      <c r="W112" s="398"/>
      <c r="X112" s="398"/>
      <c r="Y112" s="398"/>
      <c r="Z112" s="398"/>
      <c r="AA112" s="398"/>
      <c r="AB112" s="398"/>
      <c r="AC112" s="398"/>
      <c r="AD112" s="398"/>
      <c r="AE112" s="398"/>
      <c r="AF112" s="398"/>
    </row>
    <row r="113" spans="1:32">
      <c r="A113" s="398"/>
      <c r="B113" s="398"/>
      <c r="C113" s="398"/>
      <c r="D113" s="398"/>
      <c r="E113" s="398"/>
      <c r="F113" s="398"/>
      <c r="G113" s="398"/>
      <c r="H113" s="398"/>
      <c r="I113" s="398"/>
      <c r="J113" s="398"/>
      <c r="K113" s="398"/>
      <c r="L113" s="398"/>
      <c r="M113" s="398"/>
      <c r="N113" s="398"/>
      <c r="O113" s="398"/>
      <c r="P113" s="398"/>
      <c r="Q113" s="398"/>
      <c r="R113" s="398"/>
      <c r="S113" s="398"/>
      <c r="T113" s="398"/>
      <c r="U113" s="398"/>
      <c r="V113" s="398"/>
      <c r="W113" s="398"/>
      <c r="X113" s="398"/>
      <c r="Y113" s="398"/>
      <c r="Z113" s="398"/>
      <c r="AA113" s="398"/>
      <c r="AB113" s="398"/>
      <c r="AC113" s="398"/>
      <c r="AD113" s="398"/>
      <c r="AE113" s="398"/>
      <c r="AF113" s="398"/>
    </row>
    <row r="114" spans="1:32">
      <c r="A114" s="398"/>
      <c r="B114" s="398"/>
      <c r="C114" s="398"/>
      <c r="D114" s="398"/>
      <c r="E114" s="398"/>
      <c r="F114" s="398"/>
      <c r="G114" s="398"/>
      <c r="H114" s="398"/>
      <c r="I114" s="398"/>
      <c r="J114" s="398"/>
      <c r="K114" s="398"/>
      <c r="L114" s="398"/>
      <c r="M114" s="398"/>
      <c r="N114" s="398"/>
      <c r="O114" s="398"/>
      <c r="P114" s="398"/>
      <c r="Q114" s="398"/>
      <c r="R114" s="398"/>
      <c r="S114" s="398"/>
      <c r="T114" s="398"/>
      <c r="U114" s="398"/>
      <c r="V114" s="398"/>
      <c r="W114" s="398"/>
      <c r="X114" s="398"/>
      <c r="Y114" s="398"/>
      <c r="Z114" s="398"/>
      <c r="AA114" s="398"/>
      <c r="AB114" s="398"/>
      <c r="AC114" s="398"/>
      <c r="AD114" s="398"/>
      <c r="AE114" s="398"/>
      <c r="AF114" s="398"/>
    </row>
    <row r="115" spans="1:32">
      <c r="A115" s="398"/>
      <c r="B115" s="398"/>
      <c r="C115" s="398"/>
      <c r="D115" s="398"/>
      <c r="E115" s="398"/>
      <c r="F115" s="398"/>
      <c r="G115" s="398"/>
      <c r="H115" s="398"/>
      <c r="I115" s="398"/>
      <c r="J115" s="398"/>
      <c r="K115" s="398"/>
      <c r="L115" s="398"/>
      <c r="M115" s="398"/>
      <c r="N115" s="398"/>
      <c r="O115" s="398"/>
      <c r="P115" s="398"/>
      <c r="Q115" s="398"/>
      <c r="R115" s="398"/>
      <c r="S115" s="398"/>
      <c r="T115" s="398"/>
      <c r="U115" s="398"/>
      <c r="V115" s="398"/>
      <c r="W115" s="398"/>
      <c r="X115" s="398"/>
      <c r="Y115" s="398"/>
      <c r="Z115" s="398"/>
      <c r="AA115" s="398"/>
      <c r="AB115" s="398"/>
      <c r="AC115" s="398"/>
      <c r="AD115" s="398"/>
      <c r="AE115" s="398"/>
      <c r="AF115" s="398"/>
    </row>
    <row r="116" spans="1:32">
      <c r="A116" s="398"/>
      <c r="B116" s="398"/>
      <c r="C116" s="398"/>
      <c r="D116" s="398"/>
      <c r="E116" s="398"/>
      <c r="F116" s="398"/>
      <c r="G116" s="398"/>
      <c r="H116" s="398"/>
      <c r="I116" s="398"/>
      <c r="J116" s="398"/>
      <c r="K116" s="398"/>
      <c r="L116" s="398"/>
      <c r="M116" s="398"/>
      <c r="N116" s="398"/>
      <c r="O116" s="398"/>
      <c r="P116" s="398"/>
      <c r="Q116" s="398"/>
      <c r="R116" s="398"/>
      <c r="S116" s="398"/>
      <c r="T116" s="398"/>
      <c r="U116" s="398"/>
      <c r="V116" s="398"/>
      <c r="W116" s="398"/>
      <c r="X116" s="398"/>
      <c r="Y116" s="398"/>
      <c r="Z116" s="398"/>
      <c r="AA116" s="398"/>
      <c r="AB116" s="398"/>
      <c r="AC116" s="398"/>
      <c r="AD116" s="398"/>
      <c r="AE116" s="398"/>
      <c r="AF116" s="398"/>
    </row>
    <row r="117" spans="1:32">
      <c r="A117" s="398"/>
      <c r="B117" s="398"/>
      <c r="C117" s="398"/>
      <c r="D117" s="398"/>
      <c r="E117" s="398"/>
      <c r="F117" s="398"/>
      <c r="G117" s="398"/>
      <c r="H117" s="398"/>
      <c r="I117" s="398"/>
      <c r="J117" s="398"/>
      <c r="K117" s="398"/>
      <c r="L117" s="398"/>
      <c r="M117" s="398"/>
      <c r="N117" s="398"/>
      <c r="O117" s="398"/>
      <c r="P117" s="398"/>
      <c r="Q117" s="398"/>
      <c r="R117" s="398"/>
      <c r="S117" s="398"/>
      <c r="T117" s="398"/>
      <c r="U117" s="398"/>
      <c r="V117" s="398"/>
      <c r="W117" s="398"/>
      <c r="X117" s="398"/>
      <c r="Y117" s="398"/>
      <c r="Z117" s="398"/>
      <c r="AA117" s="398"/>
      <c r="AB117" s="398"/>
      <c r="AC117" s="398"/>
      <c r="AD117" s="398"/>
      <c r="AE117" s="398"/>
      <c r="AF117" s="398"/>
    </row>
    <row r="118" spans="1:32">
      <c r="A118" s="398"/>
      <c r="B118" s="398"/>
      <c r="C118" s="398"/>
      <c r="D118" s="398"/>
      <c r="E118" s="398"/>
      <c r="F118" s="398"/>
      <c r="G118" s="398"/>
      <c r="H118" s="398"/>
      <c r="I118" s="398"/>
      <c r="J118" s="398"/>
      <c r="K118" s="398"/>
      <c r="L118" s="398"/>
      <c r="M118" s="398"/>
      <c r="N118" s="398"/>
      <c r="O118" s="398"/>
      <c r="P118" s="398"/>
      <c r="Q118" s="398"/>
      <c r="R118" s="398"/>
      <c r="S118" s="398"/>
      <c r="T118" s="398"/>
      <c r="U118" s="398"/>
      <c r="V118" s="398"/>
      <c r="W118" s="398"/>
      <c r="X118" s="398"/>
      <c r="Y118" s="398"/>
      <c r="Z118" s="398"/>
      <c r="AA118" s="398"/>
      <c r="AB118" s="398"/>
      <c r="AC118" s="398"/>
      <c r="AD118" s="398"/>
      <c r="AE118" s="398"/>
      <c r="AF118" s="398"/>
    </row>
    <row r="119" spans="1:32">
      <c r="A119" s="398"/>
      <c r="B119" s="398"/>
      <c r="C119" s="398"/>
      <c r="D119" s="398"/>
      <c r="E119" s="398"/>
      <c r="F119" s="398"/>
      <c r="G119" s="398"/>
      <c r="H119" s="398"/>
      <c r="I119" s="398"/>
      <c r="J119" s="398"/>
      <c r="K119" s="398"/>
      <c r="L119" s="398"/>
      <c r="M119" s="398"/>
      <c r="N119" s="398"/>
      <c r="O119" s="398"/>
      <c r="P119" s="398"/>
      <c r="Q119" s="398"/>
      <c r="R119" s="398"/>
      <c r="S119" s="398"/>
      <c r="T119" s="398"/>
      <c r="U119" s="398"/>
      <c r="V119" s="398"/>
      <c r="W119" s="398"/>
      <c r="X119" s="398"/>
      <c r="Y119" s="398"/>
      <c r="Z119" s="398"/>
      <c r="AA119" s="398"/>
      <c r="AB119" s="398"/>
      <c r="AC119" s="398"/>
      <c r="AD119" s="398"/>
      <c r="AE119" s="398"/>
      <c r="AF119" s="398"/>
    </row>
    <row r="120" spans="1:32">
      <c r="A120" s="398"/>
      <c r="B120" s="398"/>
      <c r="C120" s="398"/>
      <c r="D120" s="398"/>
      <c r="E120" s="398"/>
      <c r="F120" s="398"/>
      <c r="G120" s="398"/>
      <c r="H120" s="398"/>
      <c r="I120" s="398"/>
      <c r="J120" s="398"/>
      <c r="K120" s="398"/>
      <c r="L120" s="398"/>
      <c r="M120" s="398"/>
      <c r="N120" s="398"/>
      <c r="O120" s="398"/>
      <c r="P120" s="398"/>
      <c r="Q120" s="398"/>
      <c r="R120" s="398"/>
      <c r="S120" s="398"/>
      <c r="T120" s="398"/>
      <c r="U120" s="398"/>
      <c r="V120" s="398"/>
      <c r="W120" s="398"/>
      <c r="X120" s="398"/>
      <c r="Y120" s="398"/>
      <c r="Z120" s="398"/>
      <c r="AA120" s="398"/>
      <c r="AB120" s="398"/>
      <c r="AC120" s="398"/>
      <c r="AD120" s="398"/>
      <c r="AE120" s="398"/>
      <c r="AF120" s="398"/>
    </row>
    <row r="121" spans="1:32">
      <c r="A121" s="398"/>
      <c r="B121" s="398"/>
      <c r="C121" s="398"/>
      <c r="D121" s="398"/>
      <c r="E121" s="398"/>
      <c r="F121" s="398"/>
      <c r="G121" s="398"/>
      <c r="H121" s="398"/>
      <c r="I121" s="398"/>
      <c r="J121" s="398"/>
      <c r="K121" s="398"/>
      <c r="L121" s="398"/>
      <c r="M121" s="398"/>
      <c r="N121" s="398"/>
      <c r="O121" s="398"/>
      <c r="P121" s="398"/>
      <c r="Q121" s="398"/>
      <c r="R121" s="398"/>
      <c r="S121" s="398"/>
      <c r="T121" s="398"/>
      <c r="U121" s="398"/>
      <c r="V121" s="398"/>
      <c r="W121" s="398"/>
      <c r="X121" s="398"/>
      <c r="Y121" s="398"/>
      <c r="Z121" s="398"/>
      <c r="AA121" s="398"/>
      <c r="AB121" s="398"/>
      <c r="AC121" s="398"/>
      <c r="AD121" s="398"/>
      <c r="AE121" s="398"/>
      <c r="AF121" s="398"/>
    </row>
    <row r="122" spans="1:32">
      <c r="A122" s="398"/>
      <c r="B122" s="398"/>
      <c r="C122" s="398"/>
      <c r="D122" s="398"/>
      <c r="E122" s="398"/>
      <c r="F122" s="398"/>
      <c r="G122" s="398"/>
      <c r="H122" s="398"/>
      <c r="I122" s="398"/>
      <c r="J122" s="398"/>
      <c r="K122" s="398"/>
      <c r="L122" s="398"/>
      <c r="M122" s="398"/>
      <c r="N122" s="398"/>
      <c r="O122" s="398"/>
      <c r="P122" s="398"/>
      <c r="Q122" s="398"/>
      <c r="R122" s="398"/>
      <c r="S122" s="398"/>
      <c r="T122" s="398"/>
      <c r="U122" s="398"/>
      <c r="V122" s="398"/>
      <c r="W122" s="398"/>
      <c r="X122" s="398"/>
      <c r="Y122" s="398"/>
      <c r="Z122" s="398"/>
      <c r="AA122" s="398"/>
      <c r="AB122" s="398"/>
      <c r="AC122" s="398"/>
      <c r="AD122" s="398"/>
      <c r="AE122" s="398"/>
      <c r="AF122" s="398"/>
    </row>
    <row r="123" spans="1:32">
      <c r="A123" s="398"/>
      <c r="B123" s="398"/>
      <c r="C123" s="398"/>
      <c r="D123" s="398"/>
      <c r="E123" s="398"/>
      <c r="F123" s="398"/>
      <c r="G123" s="398"/>
      <c r="H123" s="398"/>
      <c r="I123" s="398"/>
      <c r="J123" s="398"/>
      <c r="K123" s="398"/>
      <c r="L123" s="398"/>
      <c r="M123" s="398"/>
      <c r="N123" s="398"/>
      <c r="O123" s="398"/>
      <c r="P123" s="398"/>
      <c r="Q123" s="398"/>
      <c r="R123" s="398"/>
      <c r="S123" s="398"/>
      <c r="T123" s="398"/>
      <c r="U123" s="398"/>
      <c r="V123" s="398"/>
      <c r="W123" s="398"/>
      <c r="X123" s="398"/>
      <c r="Y123" s="398"/>
      <c r="Z123" s="398"/>
      <c r="AA123" s="398"/>
      <c r="AB123" s="398"/>
      <c r="AC123" s="398"/>
      <c r="AD123" s="398"/>
      <c r="AE123" s="398"/>
      <c r="AF123" s="398"/>
    </row>
    <row r="124" spans="1:32">
      <c r="A124" s="398"/>
      <c r="B124" s="398"/>
      <c r="C124" s="398"/>
      <c r="D124" s="398"/>
      <c r="E124" s="398"/>
      <c r="F124" s="398"/>
      <c r="G124" s="398"/>
      <c r="H124" s="398"/>
      <c r="I124" s="398"/>
      <c r="J124" s="398"/>
      <c r="K124" s="398"/>
      <c r="L124" s="398"/>
      <c r="M124" s="398"/>
      <c r="N124" s="398"/>
      <c r="O124" s="398"/>
      <c r="P124" s="398"/>
      <c r="Q124" s="398"/>
      <c r="R124" s="398"/>
      <c r="S124" s="398"/>
      <c r="T124" s="398"/>
      <c r="U124" s="398"/>
      <c r="V124" s="398"/>
      <c r="W124" s="398"/>
      <c r="X124" s="398"/>
      <c r="Y124" s="398"/>
      <c r="Z124" s="398"/>
      <c r="AA124" s="398"/>
      <c r="AB124" s="398"/>
      <c r="AC124" s="398"/>
      <c r="AD124" s="398"/>
      <c r="AE124" s="398"/>
      <c r="AF124" s="398"/>
    </row>
    <row r="125" spans="1:32">
      <c r="A125" s="398"/>
      <c r="B125" s="398"/>
      <c r="C125" s="398"/>
      <c r="D125" s="398"/>
      <c r="E125" s="398"/>
      <c r="F125" s="398"/>
      <c r="G125" s="398"/>
      <c r="H125" s="398"/>
      <c r="I125" s="398"/>
      <c r="J125" s="398"/>
      <c r="K125" s="398"/>
      <c r="L125" s="398"/>
      <c r="M125" s="398"/>
      <c r="N125" s="398"/>
      <c r="O125" s="398"/>
      <c r="P125" s="398"/>
      <c r="Q125" s="398"/>
      <c r="R125" s="398"/>
      <c r="S125" s="398"/>
      <c r="T125" s="398"/>
      <c r="U125" s="398"/>
      <c r="V125" s="398"/>
      <c r="W125" s="398"/>
      <c r="X125" s="398"/>
      <c r="Y125" s="398"/>
      <c r="Z125" s="398"/>
      <c r="AA125" s="398"/>
      <c r="AB125" s="398"/>
      <c r="AC125" s="398"/>
      <c r="AD125" s="398"/>
      <c r="AE125" s="398"/>
      <c r="AF125" s="398"/>
    </row>
    <row r="126" spans="1:32">
      <c r="A126" s="398"/>
      <c r="B126" s="398"/>
      <c r="C126" s="398"/>
      <c r="D126" s="398"/>
      <c r="E126" s="398"/>
      <c r="F126" s="398"/>
      <c r="G126" s="398"/>
      <c r="H126" s="398"/>
      <c r="I126" s="398"/>
      <c r="J126" s="398"/>
      <c r="K126" s="398"/>
      <c r="L126" s="398"/>
      <c r="M126" s="398"/>
      <c r="N126" s="398"/>
      <c r="O126" s="398"/>
      <c r="P126" s="398"/>
      <c r="Q126" s="398"/>
      <c r="R126" s="398"/>
      <c r="S126" s="398"/>
      <c r="T126" s="398"/>
      <c r="U126" s="398"/>
      <c r="V126" s="398"/>
      <c r="W126" s="398"/>
      <c r="X126" s="398"/>
      <c r="Y126" s="398"/>
      <c r="Z126" s="398"/>
      <c r="AA126" s="398"/>
      <c r="AB126" s="398"/>
      <c r="AC126" s="398"/>
      <c r="AD126" s="398"/>
      <c r="AE126" s="398"/>
      <c r="AF126" s="398"/>
    </row>
    <row r="127" spans="1:32">
      <c r="A127" s="398"/>
      <c r="B127" s="398"/>
      <c r="C127" s="398"/>
      <c r="D127" s="398"/>
      <c r="E127" s="398"/>
      <c r="F127" s="398"/>
      <c r="G127" s="398"/>
      <c r="H127" s="398"/>
      <c r="I127" s="398"/>
      <c r="J127" s="398"/>
      <c r="K127" s="398"/>
      <c r="L127" s="398"/>
      <c r="M127" s="398"/>
      <c r="N127" s="398"/>
      <c r="O127" s="398"/>
      <c r="P127" s="398"/>
      <c r="Q127" s="398"/>
      <c r="R127" s="398"/>
      <c r="S127" s="398"/>
      <c r="T127" s="398"/>
      <c r="U127" s="398"/>
      <c r="V127" s="398"/>
      <c r="W127" s="398"/>
      <c r="X127" s="398"/>
      <c r="Y127" s="398"/>
      <c r="Z127" s="398"/>
      <c r="AA127" s="398"/>
      <c r="AB127" s="398"/>
      <c r="AC127" s="398"/>
      <c r="AD127" s="398"/>
      <c r="AE127" s="398"/>
      <c r="AF127" s="398"/>
    </row>
    <row r="128" spans="1:32">
      <c r="A128" s="398"/>
      <c r="B128" s="398"/>
      <c r="C128" s="398"/>
      <c r="D128" s="398"/>
      <c r="E128" s="398"/>
      <c r="F128" s="398"/>
      <c r="G128" s="398"/>
      <c r="H128" s="398"/>
      <c r="I128" s="398"/>
      <c r="J128" s="398"/>
      <c r="K128" s="398"/>
      <c r="L128" s="398"/>
      <c r="M128" s="398"/>
      <c r="N128" s="398"/>
      <c r="O128" s="398"/>
      <c r="P128" s="398"/>
      <c r="Q128" s="398"/>
      <c r="R128" s="398"/>
      <c r="S128" s="398"/>
      <c r="T128" s="398"/>
      <c r="U128" s="398"/>
      <c r="V128" s="398"/>
      <c r="W128" s="398"/>
      <c r="X128" s="398"/>
      <c r="Y128" s="398"/>
      <c r="Z128" s="398"/>
      <c r="AA128" s="398"/>
      <c r="AB128" s="398"/>
      <c r="AC128" s="398"/>
      <c r="AD128" s="398"/>
      <c r="AE128" s="398"/>
      <c r="AF128" s="398"/>
    </row>
    <row r="129" spans="1:32">
      <c r="A129" s="398"/>
      <c r="B129" s="398"/>
      <c r="C129" s="398"/>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398"/>
      <c r="Z129" s="398"/>
      <c r="AA129" s="398"/>
      <c r="AB129" s="398"/>
      <c r="AC129" s="398"/>
      <c r="AD129" s="398"/>
      <c r="AE129" s="398"/>
      <c r="AF129" s="398"/>
    </row>
    <row r="130" spans="1:32">
      <c r="A130" s="398"/>
      <c r="B130" s="398"/>
      <c r="C130" s="398"/>
      <c r="D130" s="398"/>
      <c r="E130" s="398"/>
      <c r="F130" s="398"/>
      <c r="G130" s="398"/>
      <c r="H130" s="398"/>
      <c r="I130" s="398"/>
      <c r="J130" s="398"/>
      <c r="K130" s="398"/>
      <c r="L130" s="398"/>
      <c r="M130" s="398"/>
      <c r="N130" s="398"/>
      <c r="O130" s="398"/>
      <c r="P130" s="398"/>
      <c r="Q130" s="398"/>
      <c r="R130" s="398"/>
      <c r="S130" s="398"/>
      <c r="T130" s="398"/>
      <c r="U130" s="398"/>
      <c r="V130" s="398"/>
      <c r="W130" s="398"/>
      <c r="X130" s="398"/>
      <c r="Y130" s="398"/>
      <c r="Z130" s="398"/>
      <c r="AA130" s="398"/>
      <c r="AB130" s="398"/>
      <c r="AC130" s="398"/>
      <c r="AD130" s="398"/>
      <c r="AE130" s="398"/>
      <c r="AF130" s="398"/>
    </row>
    <row r="131" spans="1:32" s="75" customFormat="1">
      <c r="A131" s="398"/>
      <c r="B131" s="129" t="str">
        <f>CopyRight</f>
        <v>©AnalysisPlace.  www.analysisplace.com</v>
      </c>
      <c r="C131" s="266"/>
      <c r="D131" s="266"/>
      <c r="E131" s="266"/>
      <c r="F131" s="266"/>
      <c r="G131" s="266"/>
      <c r="H131" s="266"/>
      <c r="I131" s="398"/>
      <c r="J131" s="398"/>
      <c r="K131" s="398"/>
      <c r="L131" s="398"/>
      <c r="M131" s="398"/>
      <c r="N131" s="398"/>
      <c r="O131" s="398"/>
      <c r="P131" s="398"/>
      <c r="Q131" s="398"/>
      <c r="R131" s="398"/>
      <c r="S131" s="266"/>
      <c r="T131" s="266"/>
      <c r="U131" s="266"/>
      <c r="V131" s="266"/>
      <c r="W131" s="266"/>
      <c r="X131" s="266"/>
      <c r="Y131" s="398"/>
      <c r="Z131" s="398"/>
      <c r="AA131" s="398"/>
      <c r="AB131" s="398"/>
      <c r="AC131" s="398"/>
      <c r="AD131" s="398"/>
      <c r="AE131" s="398"/>
      <c r="AF131" s="398"/>
    </row>
    <row r="132" spans="1:32">
      <c r="A132" s="100" t="s">
        <v>164</v>
      </c>
      <c r="B132" s="398"/>
      <c r="C132" s="398"/>
      <c r="D132" s="398"/>
      <c r="E132" s="398"/>
      <c r="F132" s="398"/>
      <c r="G132" s="398"/>
      <c r="H132" s="398"/>
      <c r="I132" s="398"/>
      <c r="J132" s="398"/>
      <c r="K132" s="398"/>
      <c r="L132" s="398"/>
      <c r="M132" s="398"/>
      <c r="N132" s="398"/>
      <c r="O132" s="398"/>
      <c r="P132" s="398"/>
      <c r="Q132" s="398"/>
      <c r="R132" s="398"/>
      <c r="S132" s="398"/>
      <c r="T132" s="398"/>
      <c r="U132" s="398"/>
      <c r="V132" s="398"/>
      <c r="W132" s="398"/>
      <c r="X132" s="398"/>
      <c r="Y132" s="398"/>
      <c r="Z132" s="398"/>
      <c r="AA132" s="398"/>
      <c r="AB132" s="398"/>
      <c r="AC132" s="398"/>
      <c r="AD132" s="398"/>
      <c r="AE132" s="398"/>
      <c r="AF132" s="398"/>
    </row>
    <row r="133" spans="1:32">
      <c r="A133" s="398"/>
      <c r="B133" s="398"/>
      <c r="C133" s="398"/>
      <c r="D133" s="398"/>
      <c r="E133" s="398"/>
      <c r="F133" s="398"/>
      <c r="G133" s="398"/>
      <c r="H133" s="398"/>
      <c r="I133" s="398"/>
      <c r="J133" s="398"/>
      <c r="K133" s="398"/>
      <c r="L133" s="398"/>
      <c r="M133" s="398"/>
      <c r="N133" s="398"/>
      <c r="O133" s="398"/>
      <c r="P133" s="398"/>
      <c r="Q133" s="398"/>
      <c r="R133" s="398"/>
      <c r="S133" s="398"/>
      <c r="T133" s="398"/>
      <c r="U133" s="398"/>
      <c r="V133" s="398"/>
      <c r="W133" s="398"/>
      <c r="X133" s="398"/>
      <c r="Y133" s="398"/>
      <c r="Z133" s="398"/>
      <c r="AA133" s="398"/>
      <c r="AB133" s="398"/>
      <c r="AC133" s="398"/>
      <c r="AD133" s="398"/>
      <c r="AE133" s="398"/>
      <c r="AF133" s="398"/>
    </row>
    <row r="134" spans="1:32">
      <c r="A134" s="398"/>
      <c r="B134" s="398"/>
      <c r="C134" s="398"/>
      <c r="D134" s="398"/>
      <c r="E134" s="398"/>
      <c r="F134" s="398"/>
      <c r="G134" s="398"/>
      <c r="H134" s="398"/>
      <c r="I134" s="398"/>
      <c r="J134" s="398"/>
      <c r="K134" s="398"/>
      <c r="L134" s="398"/>
      <c r="M134" s="398"/>
      <c r="N134" s="398"/>
      <c r="O134" s="398"/>
      <c r="P134" s="398"/>
      <c r="Q134" s="398"/>
      <c r="R134" s="398"/>
      <c r="S134" s="398"/>
      <c r="T134" s="398"/>
      <c r="U134" s="398"/>
      <c r="V134" s="398"/>
      <c r="W134" s="398"/>
      <c r="X134" s="398"/>
      <c r="Y134" s="398"/>
      <c r="Z134" s="398"/>
      <c r="AA134" s="398"/>
      <c r="AB134" s="398"/>
      <c r="AC134" s="398"/>
      <c r="AD134" s="398"/>
      <c r="AE134" s="398"/>
      <c r="AF134" s="398"/>
    </row>
    <row r="135" spans="1:32">
      <c r="A135" s="398"/>
      <c r="B135" s="398"/>
      <c r="C135" s="398"/>
      <c r="D135" s="398"/>
      <c r="E135" s="398"/>
      <c r="F135" s="398"/>
      <c r="G135" s="398"/>
      <c r="H135" s="398"/>
      <c r="I135" s="398"/>
      <c r="J135" s="398"/>
      <c r="K135" s="398"/>
      <c r="L135" s="398"/>
      <c r="M135" s="398"/>
      <c r="N135" s="398"/>
      <c r="O135" s="398"/>
      <c r="P135" s="398"/>
      <c r="Q135" s="398"/>
      <c r="R135" s="398"/>
      <c r="S135" s="398"/>
      <c r="T135" s="398"/>
      <c r="U135" s="398"/>
      <c r="V135" s="398"/>
      <c r="W135" s="398"/>
      <c r="X135" s="398"/>
      <c r="Y135" s="398"/>
      <c r="Z135" s="398"/>
      <c r="AA135" s="398"/>
      <c r="AB135" s="398"/>
      <c r="AC135" s="398"/>
      <c r="AD135" s="398"/>
      <c r="AE135" s="398"/>
      <c r="AF135" s="398"/>
    </row>
    <row r="136" spans="1:32">
      <c r="A136" s="398"/>
      <c r="B136" s="398"/>
      <c r="C136" s="398"/>
      <c r="D136" s="398"/>
      <c r="E136" s="398"/>
      <c r="F136" s="398"/>
      <c r="G136" s="398"/>
      <c r="H136" s="398"/>
      <c r="I136" s="398"/>
      <c r="J136" s="398"/>
      <c r="K136" s="398"/>
      <c r="L136" s="398"/>
      <c r="M136" s="398"/>
      <c r="N136" s="398"/>
      <c r="O136" s="398"/>
      <c r="P136" s="398"/>
      <c r="Q136" s="398"/>
      <c r="R136" s="398"/>
      <c r="S136" s="398"/>
      <c r="T136" s="398"/>
      <c r="U136" s="398"/>
      <c r="V136" s="398"/>
      <c r="W136" s="398"/>
      <c r="X136" s="398"/>
      <c r="Y136" s="398"/>
      <c r="Z136" s="398"/>
      <c r="AA136" s="398"/>
      <c r="AB136" s="398"/>
      <c r="AC136" s="398"/>
      <c r="AD136" s="398"/>
      <c r="AE136" s="398"/>
      <c r="AF136" s="398"/>
    </row>
    <row r="137" spans="1:32">
      <c r="A137" s="398"/>
      <c r="B137" s="398"/>
      <c r="C137" s="398"/>
      <c r="D137" s="398"/>
      <c r="E137" s="398"/>
      <c r="F137" s="398"/>
      <c r="G137" s="398"/>
      <c r="H137" s="398"/>
      <c r="I137" s="398"/>
      <c r="J137" s="398"/>
      <c r="K137" s="398"/>
      <c r="L137" s="398"/>
      <c r="M137" s="398"/>
      <c r="N137" s="398"/>
      <c r="O137" s="398"/>
      <c r="P137" s="398"/>
      <c r="Q137" s="398"/>
      <c r="R137" s="398"/>
      <c r="S137" s="398"/>
      <c r="T137" s="398"/>
      <c r="U137" s="398"/>
      <c r="V137" s="398"/>
      <c r="W137" s="398"/>
      <c r="X137" s="398"/>
      <c r="Y137" s="398"/>
      <c r="Z137" s="398"/>
      <c r="AA137" s="398"/>
      <c r="AB137" s="398"/>
      <c r="AC137" s="398"/>
      <c r="AD137" s="398"/>
      <c r="AE137" s="398"/>
      <c r="AF137" s="398"/>
    </row>
    <row r="138" spans="1:32">
      <c r="A138" s="398"/>
      <c r="B138" s="398"/>
      <c r="C138" s="398"/>
      <c r="D138" s="398"/>
      <c r="E138" s="398"/>
      <c r="F138" s="398"/>
      <c r="G138" s="398"/>
      <c r="H138" s="398"/>
      <c r="I138" s="398"/>
      <c r="J138" s="398"/>
      <c r="K138" s="398"/>
      <c r="L138" s="398"/>
      <c r="M138" s="398"/>
      <c r="N138" s="398"/>
      <c r="O138" s="398"/>
      <c r="P138" s="398"/>
      <c r="Q138" s="398"/>
      <c r="R138" s="398"/>
      <c r="S138" s="398"/>
      <c r="T138" s="398"/>
      <c r="U138" s="398"/>
      <c r="V138" s="398"/>
      <c r="W138" s="398"/>
      <c r="X138" s="398"/>
      <c r="Y138" s="398"/>
      <c r="Z138" s="398"/>
      <c r="AA138" s="398"/>
      <c r="AB138" s="398"/>
      <c r="AC138" s="398"/>
      <c r="AD138" s="398"/>
      <c r="AE138" s="398"/>
      <c r="AF138" s="398"/>
    </row>
    <row r="139" spans="1:32">
      <c r="A139" s="398"/>
      <c r="B139" s="398"/>
      <c r="C139" s="398"/>
      <c r="D139" s="398"/>
      <c r="E139" s="398"/>
      <c r="F139" s="398"/>
      <c r="G139" s="398"/>
      <c r="H139" s="398"/>
      <c r="I139" s="398"/>
      <c r="J139" s="398"/>
      <c r="K139" s="398"/>
      <c r="L139" s="398"/>
      <c r="M139" s="398"/>
      <c r="N139" s="398"/>
      <c r="O139" s="398"/>
      <c r="P139" s="398"/>
      <c r="Q139" s="398"/>
      <c r="R139" s="398"/>
      <c r="S139" s="398"/>
      <c r="T139" s="398"/>
      <c r="U139" s="398"/>
      <c r="V139" s="398"/>
      <c r="W139" s="398"/>
      <c r="X139" s="398"/>
      <c r="Y139" s="398"/>
      <c r="Z139" s="398"/>
      <c r="AA139" s="398"/>
      <c r="AB139" s="398"/>
      <c r="AC139" s="398"/>
      <c r="AD139" s="398"/>
      <c r="AE139" s="398"/>
      <c r="AF139" s="398"/>
    </row>
    <row r="140" spans="1:32">
      <c r="A140" s="398"/>
      <c r="B140" s="398"/>
      <c r="C140" s="398"/>
      <c r="D140" s="398"/>
      <c r="E140" s="398"/>
      <c r="F140" s="398"/>
      <c r="G140" s="398"/>
      <c r="H140" s="398"/>
      <c r="I140" s="398"/>
      <c r="J140" s="398"/>
      <c r="K140" s="398"/>
      <c r="L140" s="398"/>
      <c r="M140" s="398"/>
      <c r="N140" s="398"/>
      <c r="O140" s="398"/>
      <c r="P140" s="398"/>
      <c r="Q140" s="398"/>
      <c r="R140" s="398"/>
      <c r="S140" s="398"/>
      <c r="T140" s="398"/>
      <c r="U140" s="398"/>
      <c r="V140" s="398"/>
      <c r="W140" s="398"/>
      <c r="X140" s="398"/>
      <c r="Y140" s="398"/>
      <c r="Z140" s="398"/>
      <c r="AA140" s="398"/>
      <c r="AB140" s="398"/>
      <c r="AC140" s="398"/>
      <c r="AD140" s="398"/>
      <c r="AE140" s="398"/>
      <c r="AF140" s="398"/>
    </row>
    <row r="141" spans="1:32">
      <c r="A141" s="398"/>
      <c r="B141" s="398"/>
      <c r="C141" s="398"/>
      <c r="D141" s="398"/>
      <c r="E141" s="398"/>
      <c r="F141" s="398"/>
      <c r="G141" s="398"/>
      <c r="H141" s="398"/>
      <c r="I141" s="398"/>
      <c r="J141" s="398"/>
      <c r="K141" s="398"/>
      <c r="L141" s="398"/>
      <c r="M141" s="398"/>
      <c r="N141" s="398"/>
      <c r="O141" s="398"/>
      <c r="P141" s="398"/>
      <c r="Q141" s="398"/>
      <c r="R141" s="398"/>
      <c r="S141" s="398"/>
      <c r="T141" s="398"/>
      <c r="U141" s="398"/>
      <c r="V141" s="398"/>
      <c r="W141" s="398"/>
      <c r="X141" s="398"/>
      <c r="Y141" s="398"/>
      <c r="Z141" s="398"/>
      <c r="AA141" s="398"/>
      <c r="AB141" s="398"/>
      <c r="AC141" s="398"/>
      <c r="AD141" s="398"/>
      <c r="AE141" s="398"/>
      <c r="AF141" s="398"/>
    </row>
    <row r="142" spans="1:32">
      <c r="A142" s="398"/>
      <c r="B142" s="398"/>
      <c r="C142" s="398"/>
      <c r="D142" s="398"/>
      <c r="E142" s="398"/>
      <c r="F142" s="398"/>
      <c r="G142" s="398"/>
      <c r="H142" s="398"/>
      <c r="I142" s="398"/>
      <c r="J142" s="398"/>
      <c r="K142" s="398"/>
      <c r="L142" s="398"/>
      <c r="M142" s="398"/>
      <c r="N142" s="398"/>
      <c r="O142" s="398"/>
      <c r="P142" s="398"/>
      <c r="Q142" s="398"/>
      <c r="R142" s="398"/>
      <c r="S142" s="398"/>
      <c r="T142" s="398"/>
      <c r="U142" s="398"/>
      <c r="V142" s="398"/>
      <c r="W142" s="398"/>
      <c r="X142" s="398"/>
      <c r="Y142" s="398"/>
      <c r="Z142" s="398"/>
      <c r="AA142" s="398"/>
      <c r="AB142" s="398"/>
      <c r="AC142" s="398"/>
      <c r="AD142" s="398"/>
      <c r="AE142" s="398"/>
      <c r="AF142" s="398"/>
    </row>
    <row r="143" spans="1:32">
      <c r="A143" s="398"/>
      <c r="B143" s="398"/>
      <c r="C143" s="398"/>
      <c r="D143" s="398"/>
      <c r="E143" s="398"/>
      <c r="F143" s="398"/>
      <c r="G143" s="398"/>
      <c r="H143" s="398"/>
      <c r="I143" s="398"/>
      <c r="J143" s="398"/>
      <c r="K143" s="398"/>
      <c r="L143" s="398"/>
      <c r="M143" s="398"/>
      <c r="N143" s="398"/>
      <c r="O143" s="398"/>
      <c r="P143" s="398"/>
      <c r="Q143" s="398"/>
      <c r="R143" s="398"/>
      <c r="S143" s="398"/>
      <c r="T143" s="398"/>
      <c r="U143" s="398"/>
      <c r="V143" s="398"/>
      <c r="W143" s="398"/>
      <c r="X143" s="398"/>
      <c r="Y143" s="398"/>
      <c r="Z143" s="398"/>
      <c r="AA143" s="398"/>
      <c r="AB143" s="398"/>
      <c r="AC143" s="398"/>
      <c r="AD143" s="398"/>
      <c r="AE143" s="398"/>
      <c r="AF143" s="398"/>
    </row>
    <row r="144" spans="1:32">
      <c r="A144" s="398"/>
      <c r="B144" s="398"/>
      <c r="C144" s="398"/>
      <c r="D144" s="398"/>
      <c r="E144" s="398"/>
      <c r="F144" s="398"/>
      <c r="G144" s="398"/>
      <c r="H144" s="398"/>
      <c r="I144" s="398"/>
      <c r="J144" s="398"/>
      <c r="K144" s="398"/>
      <c r="L144" s="398"/>
      <c r="M144" s="398"/>
      <c r="N144" s="398"/>
      <c r="O144" s="398"/>
      <c r="P144" s="398"/>
      <c r="Q144" s="398"/>
      <c r="R144" s="398"/>
      <c r="S144" s="398"/>
      <c r="T144" s="398"/>
      <c r="U144" s="398"/>
      <c r="V144" s="398"/>
      <c r="W144" s="398"/>
      <c r="X144" s="398"/>
      <c r="Y144" s="398"/>
      <c r="Z144" s="398"/>
      <c r="AA144" s="398"/>
      <c r="AB144" s="398"/>
      <c r="AC144" s="398"/>
      <c r="AD144" s="398"/>
      <c r="AE144" s="398"/>
      <c r="AF144" s="398"/>
    </row>
    <row r="145" spans="1:32">
      <c r="A145" s="398"/>
      <c r="B145" s="398"/>
      <c r="C145" s="398"/>
      <c r="D145" s="398"/>
      <c r="E145" s="398"/>
      <c r="F145" s="398"/>
      <c r="G145" s="398"/>
      <c r="H145" s="398"/>
      <c r="I145" s="398"/>
      <c r="J145" s="398"/>
      <c r="K145" s="398"/>
      <c r="L145" s="398"/>
      <c r="M145" s="398"/>
      <c r="N145" s="398"/>
      <c r="O145" s="398"/>
      <c r="P145" s="398"/>
      <c r="Q145" s="398"/>
      <c r="R145" s="398"/>
      <c r="S145" s="398"/>
      <c r="T145" s="398"/>
      <c r="U145" s="398"/>
      <c r="V145" s="398"/>
      <c r="W145" s="398"/>
      <c r="X145" s="398"/>
      <c r="Y145" s="398"/>
      <c r="Z145" s="398"/>
      <c r="AA145" s="398"/>
      <c r="AB145" s="398"/>
      <c r="AC145" s="398"/>
      <c r="AD145" s="398"/>
      <c r="AE145" s="398"/>
      <c r="AF145" s="398"/>
    </row>
    <row r="146" spans="1:32">
      <c r="A146" s="398"/>
      <c r="B146" s="398"/>
      <c r="C146" s="398"/>
      <c r="D146" s="398"/>
      <c r="E146" s="398"/>
      <c r="F146" s="398"/>
      <c r="G146" s="398"/>
      <c r="H146" s="398"/>
      <c r="I146" s="398"/>
      <c r="J146" s="398"/>
      <c r="K146" s="398"/>
      <c r="L146" s="398"/>
      <c r="M146" s="398"/>
      <c r="N146" s="398"/>
      <c r="O146" s="398"/>
      <c r="P146" s="398"/>
      <c r="Q146" s="398"/>
      <c r="R146" s="398"/>
      <c r="S146" s="398"/>
      <c r="T146" s="398"/>
      <c r="U146" s="398"/>
      <c r="V146" s="398"/>
      <c r="W146" s="398"/>
      <c r="X146" s="398"/>
      <c r="Y146" s="398"/>
      <c r="Z146" s="398"/>
      <c r="AA146" s="398"/>
      <c r="AB146" s="398"/>
      <c r="AC146" s="398"/>
      <c r="AD146" s="398"/>
      <c r="AE146" s="398"/>
      <c r="AF146" s="398"/>
    </row>
    <row r="147" spans="1:32">
      <c r="A147" s="398"/>
      <c r="B147" s="398"/>
      <c r="C147" s="398"/>
      <c r="D147" s="398"/>
      <c r="E147" s="398"/>
      <c r="F147" s="398"/>
      <c r="G147" s="398"/>
      <c r="H147" s="398"/>
      <c r="I147" s="398"/>
      <c r="J147" s="398"/>
      <c r="K147" s="398"/>
      <c r="L147" s="398"/>
      <c r="M147" s="398"/>
      <c r="N147" s="398"/>
      <c r="O147" s="398"/>
      <c r="P147" s="398"/>
      <c r="Q147" s="398"/>
      <c r="R147" s="398"/>
      <c r="S147" s="398"/>
      <c r="T147" s="398"/>
      <c r="U147" s="398"/>
      <c r="V147" s="398"/>
      <c r="W147" s="398"/>
      <c r="X147" s="398"/>
      <c r="Y147" s="398"/>
      <c r="Z147" s="398"/>
      <c r="AA147" s="398"/>
      <c r="AB147" s="398"/>
      <c r="AC147" s="398"/>
      <c r="AD147" s="398"/>
      <c r="AE147" s="398"/>
      <c r="AF147" s="398"/>
    </row>
    <row r="148" spans="1:32">
      <c r="A148" s="398"/>
      <c r="B148" s="398"/>
      <c r="C148" s="398"/>
      <c r="D148" s="398"/>
      <c r="E148" s="398"/>
      <c r="F148" s="398"/>
      <c r="G148" s="398"/>
      <c r="H148" s="398"/>
      <c r="I148" s="398"/>
      <c r="J148" s="398"/>
      <c r="K148" s="398"/>
      <c r="L148" s="398"/>
      <c r="M148" s="398"/>
      <c r="N148" s="398"/>
      <c r="O148" s="398"/>
      <c r="P148" s="398"/>
      <c r="Q148" s="398"/>
      <c r="R148" s="398"/>
      <c r="S148" s="398"/>
      <c r="T148" s="398"/>
      <c r="U148" s="398"/>
      <c r="V148" s="398"/>
      <c r="W148" s="398"/>
      <c r="X148" s="398"/>
      <c r="Y148" s="398"/>
      <c r="Z148" s="398"/>
      <c r="AA148" s="398"/>
      <c r="AB148" s="398"/>
      <c r="AC148" s="398"/>
      <c r="AD148" s="398"/>
      <c r="AE148" s="398"/>
      <c r="AF148" s="398"/>
    </row>
    <row r="149" spans="1:32">
      <c r="A149" s="398"/>
      <c r="B149" s="398"/>
      <c r="C149" s="398"/>
      <c r="D149" s="398"/>
      <c r="E149" s="398"/>
      <c r="F149" s="398"/>
      <c r="G149" s="398"/>
      <c r="H149" s="398"/>
      <c r="I149" s="398"/>
      <c r="J149" s="398"/>
      <c r="K149" s="398"/>
      <c r="L149" s="398"/>
      <c r="M149" s="398"/>
      <c r="N149" s="398"/>
      <c r="O149" s="398"/>
      <c r="P149" s="398"/>
      <c r="Q149" s="398"/>
      <c r="R149" s="398"/>
      <c r="S149" s="398"/>
      <c r="T149" s="398"/>
      <c r="U149" s="398"/>
      <c r="V149" s="398"/>
      <c r="W149" s="398"/>
      <c r="X149" s="398"/>
      <c r="Y149" s="398"/>
      <c r="Z149" s="398"/>
      <c r="AA149" s="398"/>
      <c r="AB149" s="398"/>
      <c r="AC149" s="398"/>
      <c r="AD149" s="398"/>
      <c r="AE149" s="398"/>
      <c r="AF149" s="398"/>
    </row>
    <row r="150" spans="1:32">
      <c r="A150" s="398"/>
      <c r="B150" s="398"/>
      <c r="C150" s="398"/>
      <c r="D150" s="398"/>
      <c r="E150" s="398"/>
      <c r="F150" s="398"/>
      <c r="G150" s="398"/>
      <c r="H150" s="398"/>
      <c r="I150" s="398"/>
      <c r="J150" s="398"/>
      <c r="K150" s="398"/>
      <c r="L150" s="398"/>
      <c r="M150" s="398"/>
      <c r="N150" s="398"/>
      <c r="O150" s="398"/>
      <c r="P150" s="398"/>
      <c r="Q150" s="398"/>
      <c r="R150" s="398"/>
      <c r="S150" s="398"/>
      <c r="T150" s="398"/>
      <c r="U150" s="398"/>
      <c r="V150" s="398"/>
      <c r="W150" s="398"/>
      <c r="X150" s="398"/>
      <c r="Y150" s="398"/>
      <c r="Z150" s="398"/>
      <c r="AA150" s="398"/>
      <c r="AB150" s="398"/>
      <c r="AC150" s="398"/>
      <c r="AD150" s="398"/>
      <c r="AE150" s="398"/>
      <c r="AF150" s="398"/>
    </row>
    <row r="151" spans="1:32">
      <c r="A151" s="398"/>
      <c r="B151" s="398"/>
      <c r="C151" s="398"/>
      <c r="D151" s="398"/>
      <c r="E151" s="398"/>
      <c r="F151" s="398"/>
      <c r="G151" s="398"/>
      <c r="H151" s="398"/>
      <c r="I151" s="398"/>
      <c r="J151" s="398"/>
      <c r="K151" s="398"/>
      <c r="L151" s="398"/>
      <c r="M151" s="398"/>
      <c r="N151" s="398"/>
      <c r="O151" s="398"/>
      <c r="P151" s="398"/>
      <c r="Q151" s="398"/>
      <c r="R151" s="398"/>
      <c r="S151" s="398"/>
      <c r="T151" s="398"/>
      <c r="U151" s="398"/>
      <c r="V151" s="398"/>
      <c r="W151" s="398"/>
      <c r="X151" s="398"/>
      <c r="Y151" s="398"/>
      <c r="Z151" s="398"/>
      <c r="AA151" s="398"/>
      <c r="AB151" s="398"/>
      <c r="AC151" s="398"/>
      <c r="AD151" s="398"/>
      <c r="AE151" s="398"/>
      <c r="AF151" s="398"/>
    </row>
    <row r="152" spans="1:32">
      <c r="A152" s="398"/>
      <c r="B152" s="398"/>
      <c r="C152" s="398"/>
      <c r="D152" s="398"/>
      <c r="E152" s="398"/>
      <c r="F152" s="398"/>
      <c r="G152" s="398"/>
      <c r="H152" s="398"/>
      <c r="I152" s="398"/>
      <c r="J152" s="398"/>
      <c r="K152" s="398"/>
      <c r="L152" s="398"/>
      <c r="M152" s="398"/>
      <c r="N152" s="398"/>
      <c r="O152" s="398"/>
      <c r="P152" s="398"/>
      <c r="Q152" s="398"/>
      <c r="R152" s="398"/>
      <c r="S152" s="398"/>
      <c r="T152" s="398"/>
      <c r="U152" s="398"/>
      <c r="V152" s="398"/>
      <c r="W152" s="398"/>
      <c r="X152" s="398"/>
      <c r="Y152" s="398"/>
      <c r="Z152" s="398"/>
      <c r="AA152" s="398"/>
      <c r="AB152" s="398"/>
      <c r="AC152" s="398"/>
      <c r="AD152" s="398"/>
      <c r="AE152" s="398"/>
      <c r="AF152" s="398"/>
    </row>
    <row r="153" spans="1:32">
      <c r="A153" s="398"/>
      <c r="B153" s="398"/>
      <c r="C153" s="398"/>
      <c r="D153" s="398"/>
      <c r="E153" s="398"/>
      <c r="F153" s="398"/>
      <c r="G153" s="398"/>
      <c r="H153" s="398"/>
      <c r="I153" s="398"/>
      <c r="J153" s="398"/>
      <c r="K153" s="398"/>
      <c r="L153" s="398"/>
      <c r="M153" s="398"/>
      <c r="N153" s="398"/>
      <c r="O153" s="398"/>
      <c r="P153" s="398"/>
      <c r="Q153" s="398"/>
      <c r="R153" s="398"/>
      <c r="S153" s="398"/>
      <c r="T153" s="398"/>
      <c r="U153" s="398"/>
      <c r="V153" s="398"/>
      <c r="W153" s="398"/>
      <c r="X153" s="398"/>
      <c r="Y153" s="398"/>
      <c r="Z153" s="398"/>
      <c r="AA153" s="398"/>
      <c r="AB153" s="398"/>
      <c r="AC153" s="398"/>
      <c r="AD153" s="398"/>
      <c r="AE153" s="398"/>
      <c r="AF153" s="398"/>
    </row>
    <row r="154" spans="1:32">
      <c r="A154" s="398"/>
      <c r="B154" s="398"/>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c r="AB154" s="398"/>
      <c r="AC154" s="398"/>
      <c r="AD154" s="398"/>
      <c r="AE154" s="398"/>
      <c r="AF154" s="398"/>
    </row>
    <row r="155" spans="1:32">
      <c r="A155" s="398"/>
      <c r="B155" s="398"/>
      <c r="C155" s="398"/>
      <c r="D155" s="398"/>
      <c r="E155" s="398"/>
      <c r="F155" s="398"/>
      <c r="G155" s="398"/>
      <c r="H155" s="398"/>
      <c r="I155" s="398"/>
      <c r="J155" s="398"/>
      <c r="K155" s="398"/>
      <c r="L155" s="398"/>
      <c r="M155" s="398"/>
      <c r="N155" s="398"/>
      <c r="O155" s="398"/>
      <c r="P155" s="398"/>
      <c r="Q155" s="398"/>
      <c r="R155" s="398"/>
      <c r="S155" s="398"/>
      <c r="T155" s="398"/>
      <c r="U155" s="398"/>
      <c r="V155" s="398"/>
      <c r="W155" s="398"/>
      <c r="X155" s="398"/>
      <c r="Y155" s="398"/>
      <c r="Z155" s="398"/>
      <c r="AA155" s="398"/>
      <c r="AB155" s="398"/>
      <c r="AC155" s="398"/>
      <c r="AD155" s="398"/>
      <c r="AE155" s="398"/>
      <c r="AF155" s="398"/>
    </row>
    <row r="156" spans="1:32">
      <c r="A156" s="398"/>
      <c r="B156" s="398"/>
      <c r="C156" s="398"/>
      <c r="D156" s="398"/>
      <c r="E156" s="398"/>
      <c r="F156" s="398"/>
      <c r="G156" s="398"/>
      <c r="H156" s="398"/>
      <c r="I156" s="398"/>
      <c r="J156" s="398"/>
      <c r="K156" s="398"/>
      <c r="L156" s="398"/>
      <c r="M156" s="398"/>
      <c r="N156" s="398"/>
      <c r="O156" s="398"/>
      <c r="P156" s="398"/>
      <c r="Q156" s="398"/>
      <c r="R156" s="398"/>
      <c r="S156" s="398"/>
      <c r="T156" s="398"/>
      <c r="U156" s="398"/>
      <c r="V156" s="398"/>
      <c r="W156" s="398"/>
      <c r="X156" s="398"/>
      <c r="Y156" s="398"/>
      <c r="Z156" s="398"/>
      <c r="AA156" s="398"/>
      <c r="AB156" s="398"/>
      <c r="AC156" s="398"/>
      <c r="AD156" s="398"/>
      <c r="AE156" s="398"/>
      <c r="AF156" s="398"/>
    </row>
    <row r="157" spans="1:32">
      <c r="A157" s="398"/>
      <c r="B157" s="398"/>
      <c r="C157" s="398"/>
      <c r="D157" s="398"/>
      <c r="E157" s="398"/>
      <c r="F157" s="398"/>
      <c r="G157" s="398"/>
      <c r="H157" s="398"/>
      <c r="I157" s="398"/>
      <c r="J157" s="398"/>
      <c r="K157" s="398"/>
      <c r="L157" s="398"/>
      <c r="M157" s="398"/>
      <c r="N157" s="398"/>
      <c r="O157" s="398"/>
      <c r="P157" s="398"/>
      <c r="Q157" s="398"/>
      <c r="R157" s="398"/>
      <c r="S157" s="398"/>
      <c r="T157" s="398"/>
      <c r="U157" s="398"/>
      <c r="V157" s="398"/>
      <c r="W157" s="398"/>
      <c r="X157" s="398"/>
      <c r="Y157" s="398"/>
      <c r="Z157" s="398"/>
      <c r="AA157" s="398"/>
      <c r="AB157" s="398"/>
      <c r="AC157" s="398"/>
      <c r="AD157" s="398"/>
      <c r="AE157" s="398"/>
      <c r="AF157" s="398"/>
    </row>
    <row r="158" spans="1:32">
      <c r="A158" s="398"/>
      <c r="B158" s="398"/>
      <c r="C158" s="398"/>
      <c r="D158" s="398"/>
      <c r="E158" s="398"/>
      <c r="F158" s="398"/>
      <c r="G158" s="398"/>
      <c r="H158" s="398"/>
      <c r="I158" s="398"/>
      <c r="J158" s="398"/>
      <c r="K158" s="398"/>
      <c r="L158" s="398"/>
      <c r="M158" s="398"/>
      <c r="N158" s="398"/>
      <c r="O158" s="398"/>
      <c r="P158" s="398"/>
      <c r="Q158" s="398"/>
      <c r="R158" s="398"/>
      <c r="S158" s="398"/>
      <c r="T158" s="398"/>
      <c r="U158" s="398"/>
      <c r="V158" s="398"/>
      <c r="W158" s="398"/>
      <c r="X158" s="398"/>
      <c r="Y158" s="398"/>
      <c r="Z158" s="398"/>
      <c r="AA158" s="398"/>
      <c r="AB158" s="398"/>
      <c r="AC158" s="398"/>
      <c r="AD158" s="398"/>
      <c r="AE158" s="398"/>
      <c r="AF158" s="398"/>
    </row>
    <row r="159" spans="1:32">
      <c r="A159" s="398"/>
      <c r="B159" s="398"/>
      <c r="C159" s="398"/>
      <c r="D159" s="398"/>
      <c r="E159" s="398"/>
      <c r="F159" s="398"/>
      <c r="G159" s="398"/>
      <c r="H159" s="398"/>
      <c r="I159" s="398"/>
      <c r="J159" s="398"/>
      <c r="K159" s="398"/>
      <c r="L159" s="398"/>
      <c r="M159" s="398"/>
      <c r="N159" s="398"/>
      <c r="O159" s="398"/>
      <c r="P159" s="398"/>
      <c r="Q159" s="398"/>
      <c r="R159" s="398"/>
      <c r="S159" s="398"/>
      <c r="T159" s="398"/>
      <c r="U159" s="398"/>
      <c r="V159" s="398"/>
      <c r="W159" s="398"/>
      <c r="X159" s="398"/>
      <c r="Y159" s="398"/>
      <c r="Z159" s="398"/>
      <c r="AA159" s="398"/>
      <c r="AB159" s="398"/>
      <c r="AC159" s="398"/>
      <c r="AD159" s="398"/>
      <c r="AE159" s="398"/>
      <c r="AF159" s="398"/>
    </row>
    <row r="160" spans="1:32">
      <c r="A160" s="398"/>
      <c r="B160" s="398"/>
      <c r="C160" s="398"/>
      <c r="D160" s="398"/>
      <c r="E160" s="398"/>
      <c r="F160" s="398"/>
      <c r="G160" s="398"/>
      <c r="H160" s="398"/>
      <c r="I160" s="398"/>
      <c r="J160" s="398"/>
      <c r="K160" s="398"/>
      <c r="L160" s="398"/>
      <c r="M160" s="398"/>
      <c r="N160" s="398"/>
      <c r="O160" s="398"/>
      <c r="P160" s="398"/>
      <c r="Q160" s="398"/>
      <c r="R160" s="398"/>
      <c r="S160" s="398"/>
      <c r="T160" s="398"/>
      <c r="U160" s="398"/>
      <c r="V160" s="398"/>
      <c r="W160" s="398"/>
      <c r="X160" s="398"/>
      <c r="Y160" s="398"/>
      <c r="Z160" s="398"/>
      <c r="AA160" s="398"/>
      <c r="AB160" s="398"/>
      <c r="AC160" s="398"/>
      <c r="AD160" s="398"/>
      <c r="AE160" s="398"/>
      <c r="AF160" s="398"/>
    </row>
    <row r="161" spans="1:32">
      <c r="A161" s="398"/>
      <c r="B161" s="398"/>
      <c r="C161" s="398"/>
      <c r="D161" s="398"/>
      <c r="E161" s="398"/>
      <c r="F161" s="398"/>
      <c r="G161" s="398"/>
      <c r="H161" s="398"/>
      <c r="I161" s="398"/>
      <c r="J161" s="398"/>
      <c r="K161" s="398"/>
      <c r="L161" s="398"/>
      <c r="M161" s="398"/>
      <c r="N161" s="398"/>
      <c r="O161" s="398"/>
      <c r="P161" s="398"/>
      <c r="Q161" s="398"/>
      <c r="R161" s="398"/>
      <c r="S161" s="398"/>
      <c r="T161" s="398"/>
      <c r="U161" s="398"/>
      <c r="V161" s="398"/>
      <c r="W161" s="398"/>
      <c r="X161" s="398"/>
      <c r="Y161" s="398"/>
      <c r="Z161" s="398"/>
      <c r="AA161" s="398"/>
      <c r="AB161" s="398"/>
      <c r="AC161" s="398"/>
      <c r="AD161" s="398"/>
      <c r="AE161" s="398"/>
      <c r="AF161" s="398"/>
    </row>
    <row r="162" spans="1:32">
      <c r="A162" s="398"/>
      <c r="B162" s="398"/>
      <c r="C162" s="398"/>
      <c r="D162" s="398"/>
      <c r="E162" s="398"/>
      <c r="F162" s="398"/>
      <c r="G162" s="398"/>
      <c r="H162" s="398"/>
      <c r="I162" s="398"/>
      <c r="J162" s="398"/>
      <c r="K162" s="398"/>
      <c r="L162" s="398"/>
      <c r="M162" s="398"/>
      <c r="N162" s="398"/>
      <c r="O162" s="398"/>
      <c r="P162" s="398"/>
      <c r="Q162" s="398"/>
      <c r="R162" s="398"/>
      <c r="S162" s="398"/>
      <c r="T162" s="398"/>
      <c r="U162" s="398"/>
      <c r="V162" s="398"/>
      <c r="W162" s="398"/>
      <c r="X162" s="398"/>
      <c r="Y162" s="398"/>
      <c r="Z162" s="398"/>
      <c r="AA162" s="398"/>
      <c r="AB162" s="398"/>
      <c r="AC162" s="398"/>
      <c r="AD162" s="398"/>
      <c r="AE162" s="398"/>
      <c r="AF162" s="398"/>
    </row>
    <row r="163" spans="1:32">
      <c r="A163" s="398"/>
      <c r="B163" s="398"/>
      <c r="C163" s="398"/>
      <c r="D163" s="398"/>
      <c r="E163" s="398"/>
      <c r="F163" s="398"/>
      <c r="G163" s="398"/>
      <c r="H163" s="398"/>
      <c r="I163" s="398"/>
      <c r="J163" s="398"/>
      <c r="K163" s="398"/>
      <c r="L163" s="398"/>
      <c r="M163" s="398"/>
      <c r="N163" s="398"/>
      <c r="O163" s="398"/>
      <c r="P163" s="398"/>
      <c r="Q163" s="398"/>
      <c r="R163" s="398"/>
      <c r="S163" s="398"/>
      <c r="T163" s="398"/>
      <c r="U163" s="398"/>
      <c r="V163" s="398"/>
      <c r="W163" s="398"/>
      <c r="X163" s="398"/>
      <c r="Y163" s="398"/>
      <c r="Z163" s="398"/>
      <c r="AA163" s="398"/>
      <c r="AB163" s="398"/>
      <c r="AC163" s="398"/>
      <c r="AD163" s="398"/>
      <c r="AE163" s="398"/>
      <c r="AF163" s="398"/>
    </row>
    <row r="164" spans="1:32">
      <c r="A164" s="398"/>
      <c r="B164" s="398"/>
      <c r="C164" s="398"/>
      <c r="D164" s="398"/>
      <c r="E164" s="398"/>
      <c r="F164" s="398"/>
      <c r="G164" s="398"/>
      <c r="H164" s="398"/>
      <c r="I164" s="398"/>
      <c r="J164" s="398"/>
      <c r="K164" s="398"/>
      <c r="L164" s="398"/>
      <c r="M164" s="398"/>
      <c r="N164" s="398"/>
      <c r="O164" s="398"/>
      <c r="P164" s="398"/>
      <c r="Q164" s="398"/>
      <c r="R164" s="398"/>
      <c r="S164" s="398"/>
      <c r="T164" s="398"/>
      <c r="U164" s="398"/>
      <c r="V164" s="398"/>
      <c r="W164" s="398"/>
      <c r="X164" s="398"/>
      <c r="Y164" s="398"/>
      <c r="Z164" s="398"/>
      <c r="AA164" s="398"/>
      <c r="AB164" s="398"/>
      <c r="AC164" s="398"/>
      <c r="AD164" s="398"/>
      <c r="AE164" s="398"/>
      <c r="AF164" s="398"/>
    </row>
    <row r="165" spans="1:32">
      <c r="A165" s="398"/>
      <c r="B165" s="398"/>
      <c r="C165" s="398"/>
      <c r="D165" s="398"/>
      <c r="E165" s="398"/>
      <c r="F165" s="398"/>
      <c r="G165" s="398"/>
      <c r="H165" s="398"/>
      <c r="I165" s="398"/>
      <c r="J165" s="398"/>
      <c r="K165" s="398"/>
      <c r="L165" s="398"/>
      <c r="M165" s="398"/>
      <c r="N165" s="398"/>
      <c r="O165" s="398"/>
      <c r="P165" s="398"/>
      <c r="Q165" s="398"/>
      <c r="R165" s="398"/>
      <c r="S165" s="398"/>
      <c r="T165" s="398"/>
      <c r="U165" s="398"/>
      <c r="V165" s="398"/>
      <c r="W165" s="398"/>
      <c r="X165" s="398"/>
      <c r="Y165" s="398"/>
      <c r="Z165" s="398"/>
      <c r="AA165" s="398"/>
      <c r="AB165" s="398"/>
      <c r="AC165" s="398"/>
      <c r="AD165" s="398"/>
      <c r="AE165" s="398"/>
      <c r="AF165" s="398"/>
    </row>
    <row r="166" spans="1:32">
      <c r="A166" s="398"/>
      <c r="B166" s="398"/>
      <c r="C166" s="398"/>
      <c r="D166" s="398"/>
      <c r="E166" s="398"/>
      <c r="F166" s="398"/>
      <c r="G166" s="398"/>
      <c r="H166" s="398"/>
      <c r="I166" s="398"/>
      <c r="J166" s="398"/>
      <c r="K166" s="398"/>
      <c r="L166" s="398"/>
      <c r="M166" s="398"/>
      <c r="N166" s="398"/>
      <c r="O166" s="398"/>
      <c r="P166" s="398"/>
      <c r="Q166" s="398"/>
      <c r="R166" s="398"/>
      <c r="S166" s="398"/>
      <c r="T166" s="398"/>
      <c r="U166" s="398"/>
      <c r="V166" s="398"/>
      <c r="W166" s="398"/>
      <c r="X166" s="398"/>
      <c r="Y166" s="398"/>
      <c r="Z166" s="398"/>
      <c r="AA166" s="398"/>
      <c r="AB166" s="398"/>
      <c r="AC166" s="398"/>
      <c r="AD166" s="398"/>
      <c r="AE166" s="398"/>
      <c r="AF166" s="398"/>
    </row>
    <row r="167" spans="1:32">
      <c r="A167" s="398"/>
      <c r="B167" s="398"/>
      <c r="C167" s="398"/>
      <c r="D167" s="398"/>
      <c r="E167" s="398"/>
      <c r="F167" s="398"/>
      <c r="G167" s="398"/>
      <c r="H167" s="398"/>
      <c r="I167" s="398"/>
      <c r="J167" s="398"/>
      <c r="K167" s="398"/>
      <c r="L167" s="398"/>
      <c r="M167" s="398"/>
      <c r="N167" s="398"/>
      <c r="O167" s="398"/>
      <c r="P167" s="398"/>
      <c r="Q167" s="398"/>
      <c r="R167" s="398"/>
      <c r="S167" s="398"/>
      <c r="T167" s="398"/>
      <c r="U167" s="398"/>
      <c r="V167" s="398"/>
      <c r="W167" s="398"/>
      <c r="X167" s="398"/>
      <c r="Y167" s="398"/>
      <c r="Z167" s="398"/>
      <c r="AA167" s="398"/>
      <c r="AB167" s="398"/>
      <c r="AC167" s="398"/>
      <c r="AD167" s="398"/>
      <c r="AE167" s="398"/>
      <c r="AF167" s="398"/>
    </row>
    <row r="168" spans="1:32">
      <c r="A168" s="398"/>
      <c r="B168" s="398"/>
      <c r="C168" s="398"/>
      <c r="D168" s="398"/>
      <c r="E168" s="398"/>
      <c r="F168" s="398"/>
      <c r="G168" s="398"/>
      <c r="H168" s="398"/>
      <c r="I168" s="398"/>
      <c r="J168" s="398"/>
      <c r="K168" s="398"/>
      <c r="L168" s="398"/>
      <c r="M168" s="398"/>
      <c r="N168" s="398"/>
      <c r="O168" s="398"/>
      <c r="P168" s="398"/>
      <c r="Q168" s="398"/>
      <c r="R168" s="398"/>
      <c r="S168" s="398"/>
      <c r="T168" s="398"/>
      <c r="U168" s="398"/>
      <c r="V168" s="398"/>
      <c r="W168" s="398"/>
      <c r="X168" s="398"/>
      <c r="Y168" s="398"/>
      <c r="Z168" s="398"/>
      <c r="AA168" s="398"/>
      <c r="AB168" s="398"/>
      <c r="AC168" s="398"/>
      <c r="AD168" s="398"/>
      <c r="AE168" s="398"/>
      <c r="AF168" s="398"/>
    </row>
    <row r="169" spans="1:32">
      <c r="A169" s="398"/>
      <c r="B169" s="398"/>
      <c r="C169" s="398"/>
      <c r="D169" s="398"/>
      <c r="E169" s="398"/>
      <c r="F169" s="398"/>
      <c r="G169" s="398"/>
      <c r="H169" s="398"/>
      <c r="I169" s="398"/>
      <c r="J169" s="398"/>
      <c r="K169" s="398"/>
      <c r="L169" s="398"/>
      <c r="M169" s="398"/>
      <c r="N169" s="398"/>
      <c r="O169" s="398"/>
      <c r="P169" s="398"/>
      <c r="Q169" s="398"/>
      <c r="R169" s="398"/>
      <c r="S169" s="398"/>
      <c r="T169" s="398"/>
      <c r="U169" s="398"/>
      <c r="V169" s="398"/>
      <c r="W169" s="398"/>
      <c r="X169" s="398"/>
      <c r="Y169" s="398"/>
      <c r="Z169" s="398"/>
      <c r="AA169" s="398"/>
      <c r="AB169" s="398"/>
      <c r="AC169" s="398"/>
      <c r="AD169" s="398"/>
      <c r="AE169" s="398"/>
      <c r="AF169" s="398"/>
    </row>
    <row r="170" spans="1:32">
      <c r="A170" s="398"/>
      <c r="B170" s="398"/>
      <c r="C170" s="398"/>
      <c r="D170" s="398"/>
      <c r="E170" s="398"/>
      <c r="F170" s="398"/>
      <c r="G170" s="398"/>
      <c r="H170" s="398"/>
      <c r="I170" s="398"/>
      <c r="J170" s="398"/>
      <c r="K170" s="398"/>
      <c r="L170" s="398"/>
      <c r="M170" s="398"/>
      <c r="N170" s="398"/>
      <c r="O170" s="398"/>
      <c r="P170" s="398"/>
      <c r="Q170" s="398"/>
      <c r="R170" s="398"/>
      <c r="S170" s="398"/>
      <c r="T170" s="398"/>
      <c r="U170" s="398"/>
      <c r="V170" s="398"/>
      <c r="W170" s="398"/>
      <c r="X170" s="398"/>
      <c r="Y170" s="398"/>
      <c r="Z170" s="398"/>
      <c r="AA170" s="398"/>
      <c r="AB170" s="398"/>
      <c r="AC170" s="398"/>
      <c r="AD170" s="398"/>
      <c r="AE170" s="398"/>
      <c r="AF170" s="398"/>
    </row>
    <row r="171" spans="1:32">
      <c r="A171" s="398"/>
      <c r="B171" s="398"/>
      <c r="C171" s="398"/>
      <c r="D171" s="398"/>
      <c r="E171" s="398"/>
      <c r="F171" s="398"/>
      <c r="G171" s="398"/>
      <c r="H171" s="398"/>
      <c r="I171" s="398"/>
      <c r="J171" s="398"/>
      <c r="K171" s="398"/>
      <c r="L171" s="398"/>
      <c r="M171" s="398"/>
      <c r="N171" s="398"/>
      <c r="O171" s="398"/>
      <c r="P171" s="398"/>
      <c r="Q171" s="398"/>
      <c r="R171" s="398"/>
      <c r="S171" s="398"/>
      <c r="T171" s="398"/>
      <c r="U171" s="398"/>
      <c r="V171" s="398"/>
      <c r="W171" s="398"/>
      <c r="X171" s="398"/>
      <c r="Y171" s="398"/>
      <c r="Z171" s="398"/>
      <c r="AA171" s="398"/>
      <c r="AB171" s="398"/>
      <c r="AC171" s="398"/>
      <c r="AD171" s="398"/>
      <c r="AE171" s="398"/>
      <c r="AF171" s="398"/>
    </row>
    <row r="172" spans="1:32">
      <c r="A172" s="398"/>
      <c r="B172" s="398"/>
      <c r="C172" s="398"/>
      <c r="D172" s="398"/>
      <c r="E172" s="398"/>
      <c r="F172" s="398"/>
      <c r="G172" s="398"/>
      <c r="H172" s="398"/>
      <c r="I172" s="398"/>
      <c r="J172" s="398"/>
      <c r="K172" s="398"/>
      <c r="L172" s="398"/>
      <c r="M172" s="398"/>
      <c r="N172" s="398"/>
      <c r="O172" s="398"/>
      <c r="P172" s="398"/>
      <c r="Q172" s="398"/>
      <c r="R172" s="398"/>
      <c r="S172" s="398"/>
      <c r="T172" s="398"/>
      <c r="U172" s="398"/>
      <c r="V172" s="398"/>
      <c r="W172" s="398"/>
      <c r="X172" s="398"/>
      <c r="Y172" s="398"/>
      <c r="Z172" s="398"/>
      <c r="AA172" s="398"/>
      <c r="AB172" s="398"/>
      <c r="AC172" s="398"/>
      <c r="AD172" s="398"/>
      <c r="AE172" s="398"/>
      <c r="AF172" s="398"/>
    </row>
    <row r="173" spans="1:32">
      <c r="A173" s="398"/>
      <c r="B173" s="398"/>
      <c r="C173" s="398"/>
      <c r="D173" s="398"/>
      <c r="E173" s="398"/>
      <c r="F173" s="398"/>
      <c r="G173" s="398"/>
      <c r="H173" s="398"/>
      <c r="I173" s="398"/>
      <c r="J173" s="398"/>
      <c r="K173" s="398"/>
      <c r="L173" s="398"/>
      <c r="M173" s="398"/>
      <c r="N173" s="398"/>
      <c r="O173" s="398"/>
      <c r="P173" s="398"/>
      <c r="Q173" s="398"/>
      <c r="R173" s="398"/>
      <c r="S173" s="398"/>
      <c r="T173" s="398"/>
      <c r="U173" s="398"/>
      <c r="V173" s="398"/>
      <c r="W173" s="398"/>
      <c r="X173" s="398"/>
      <c r="Y173" s="398"/>
      <c r="Z173" s="398"/>
      <c r="AA173" s="398"/>
      <c r="AB173" s="398"/>
      <c r="AC173" s="398"/>
      <c r="AD173" s="398"/>
      <c r="AE173" s="398"/>
      <c r="AF173" s="398"/>
    </row>
    <row r="174" spans="1:32">
      <c r="A174" s="398"/>
      <c r="B174" s="398"/>
      <c r="C174" s="398"/>
      <c r="D174" s="398"/>
      <c r="E174" s="398"/>
      <c r="F174" s="398"/>
      <c r="G174" s="398"/>
      <c r="H174" s="398"/>
      <c r="I174" s="398"/>
      <c r="J174" s="398"/>
      <c r="K174" s="398"/>
      <c r="L174" s="398"/>
      <c r="M174" s="398"/>
      <c r="N174" s="398"/>
      <c r="O174" s="398"/>
      <c r="P174" s="398"/>
      <c r="Q174" s="398"/>
      <c r="R174" s="398"/>
      <c r="S174" s="398"/>
      <c r="T174" s="398"/>
      <c r="U174" s="398"/>
      <c r="V174" s="398"/>
      <c r="W174" s="398"/>
      <c r="X174" s="398"/>
      <c r="Y174" s="398"/>
      <c r="Z174" s="398"/>
      <c r="AA174" s="398"/>
      <c r="AB174" s="398"/>
      <c r="AC174" s="398"/>
      <c r="AD174" s="398"/>
      <c r="AE174" s="398"/>
      <c r="AF174" s="398"/>
    </row>
    <row r="175" spans="1:32">
      <c r="A175" s="398"/>
      <c r="B175" s="398"/>
      <c r="C175" s="398"/>
      <c r="D175" s="398"/>
      <c r="E175" s="398"/>
      <c r="F175" s="398"/>
      <c r="G175" s="398"/>
      <c r="H175" s="398"/>
      <c r="I175" s="398"/>
      <c r="J175" s="398"/>
      <c r="K175" s="398"/>
      <c r="L175" s="398"/>
      <c r="M175" s="398"/>
      <c r="N175" s="398"/>
      <c r="O175" s="398"/>
      <c r="P175" s="398"/>
      <c r="Q175" s="398"/>
      <c r="R175" s="398"/>
      <c r="S175" s="398"/>
      <c r="T175" s="398"/>
      <c r="U175" s="398"/>
      <c r="V175" s="398"/>
      <c r="W175" s="398"/>
      <c r="X175" s="398"/>
      <c r="Y175" s="398"/>
      <c r="Z175" s="398"/>
      <c r="AA175" s="398"/>
      <c r="AB175" s="398"/>
      <c r="AC175" s="398"/>
      <c r="AD175" s="398"/>
      <c r="AE175" s="398"/>
      <c r="AF175" s="398"/>
    </row>
    <row r="176" spans="1:32">
      <c r="A176" s="398"/>
      <c r="B176" s="398"/>
      <c r="C176" s="398"/>
      <c r="D176" s="398"/>
      <c r="E176" s="398"/>
      <c r="F176" s="398"/>
      <c r="G176" s="398"/>
      <c r="H176" s="398"/>
      <c r="I176" s="398"/>
      <c r="J176" s="398"/>
      <c r="K176" s="398"/>
      <c r="L176" s="398"/>
      <c r="M176" s="398"/>
      <c r="N176" s="398"/>
      <c r="O176" s="398"/>
      <c r="P176" s="398"/>
      <c r="Q176" s="398"/>
      <c r="R176" s="398"/>
      <c r="S176" s="398"/>
      <c r="T176" s="398"/>
      <c r="U176" s="398"/>
      <c r="V176" s="398"/>
      <c r="W176" s="398"/>
      <c r="X176" s="398"/>
      <c r="Y176" s="398"/>
      <c r="Z176" s="398"/>
      <c r="AA176" s="398"/>
      <c r="AB176" s="398"/>
      <c r="AC176" s="398"/>
      <c r="AD176" s="398"/>
      <c r="AE176" s="398"/>
      <c r="AF176" s="398"/>
    </row>
    <row r="177" spans="1:32">
      <c r="A177" s="398"/>
      <c r="B177" s="398"/>
      <c r="C177" s="398"/>
      <c r="D177" s="398"/>
      <c r="E177" s="398"/>
      <c r="F177" s="398"/>
      <c r="G177" s="398"/>
      <c r="H177" s="398"/>
      <c r="I177" s="398"/>
      <c r="J177" s="398"/>
      <c r="K177" s="398"/>
      <c r="L177" s="398"/>
      <c r="M177" s="398"/>
      <c r="N177" s="398"/>
      <c r="O177" s="398"/>
      <c r="P177" s="398"/>
      <c r="Q177" s="398"/>
      <c r="R177" s="398"/>
      <c r="S177" s="398"/>
      <c r="T177" s="398"/>
      <c r="U177" s="398"/>
      <c r="V177" s="398"/>
      <c r="W177" s="398"/>
      <c r="X177" s="398"/>
      <c r="Y177" s="398"/>
      <c r="Z177" s="398"/>
      <c r="AA177" s="398"/>
      <c r="AB177" s="398"/>
      <c r="AC177" s="398"/>
      <c r="AD177" s="398"/>
      <c r="AE177" s="398"/>
      <c r="AF177" s="398"/>
    </row>
    <row r="178" spans="1:32">
      <c r="A178" s="398"/>
      <c r="B178" s="398"/>
      <c r="C178" s="398"/>
      <c r="D178" s="398"/>
      <c r="E178" s="398"/>
      <c r="F178" s="398"/>
      <c r="G178" s="398"/>
      <c r="H178" s="398"/>
      <c r="I178" s="398"/>
      <c r="J178" s="398"/>
      <c r="K178" s="398"/>
      <c r="L178" s="398"/>
      <c r="M178" s="398"/>
      <c r="N178" s="398"/>
      <c r="O178" s="398"/>
      <c r="P178" s="398"/>
      <c r="Q178" s="398"/>
      <c r="R178" s="398"/>
      <c r="S178" s="398"/>
      <c r="T178" s="398"/>
      <c r="U178" s="398"/>
      <c r="V178" s="398"/>
      <c r="W178" s="398"/>
      <c r="X178" s="398"/>
      <c r="Y178" s="398"/>
      <c r="Z178" s="398"/>
      <c r="AA178" s="398"/>
      <c r="AB178" s="398"/>
      <c r="AC178" s="398"/>
      <c r="AD178" s="398"/>
      <c r="AE178" s="398"/>
      <c r="AF178" s="398"/>
    </row>
    <row r="179" spans="1:32">
      <c r="A179" s="398"/>
      <c r="B179" s="398"/>
      <c r="C179" s="398"/>
      <c r="D179" s="398"/>
      <c r="E179" s="398"/>
      <c r="F179" s="398"/>
      <c r="G179" s="398"/>
      <c r="H179" s="398"/>
      <c r="I179" s="398"/>
      <c r="J179" s="398"/>
      <c r="K179" s="398"/>
      <c r="L179" s="398"/>
      <c r="M179" s="398"/>
      <c r="N179" s="398"/>
      <c r="O179" s="398"/>
      <c r="P179" s="398"/>
      <c r="Q179" s="398"/>
      <c r="R179" s="398"/>
      <c r="S179" s="398"/>
      <c r="T179" s="398"/>
      <c r="U179" s="398"/>
      <c r="V179" s="398"/>
      <c r="W179" s="398"/>
      <c r="X179" s="398"/>
      <c r="Y179" s="398"/>
      <c r="Z179" s="398"/>
      <c r="AA179" s="398"/>
      <c r="AB179" s="398"/>
      <c r="AC179" s="398"/>
      <c r="AD179" s="398"/>
      <c r="AE179" s="398"/>
      <c r="AF179" s="398"/>
    </row>
    <row r="180" spans="1:32">
      <c r="A180" s="398"/>
      <c r="B180" s="398"/>
      <c r="C180" s="398"/>
      <c r="D180" s="398"/>
      <c r="E180" s="398"/>
      <c r="F180" s="398"/>
      <c r="G180" s="398"/>
      <c r="H180" s="398"/>
      <c r="I180" s="398"/>
      <c r="J180" s="398"/>
      <c r="K180" s="398"/>
      <c r="L180" s="398"/>
      <c r="M180" s="398"/>
      <c r="N180" s="398"/>
      <c r="O180" s="398"/>
      <c r="P180" s="398"/>
      <c r="Q180" s="398"/>
      <c r="R180" s="398"/>
      <c r="S180" s="398"/>
      <c r="T180" s="398"/>
      <c r="U180" s="398"/>
      <c r="V180" s="398"/>
      <c r="W180" s="398"/>
      <c r="X180" s="398"/>
      <c r="Y180" s="398"/>
      <c r="Z180" s="398"/>
      <c r="AA180" s="398"/>
      <c r="AB180" s="398"/>
      <c r="AC180" s="398"/>
      <c r="AD180" s="398"/>
      <c r="AE180" s="398"/>
      <c r="AF180" s="398"/>
    </row>
    <row r="181" spans="1:32">
      <c r="A181" s="398"/>
      <c r="B181" s="398"/>
      <c r="C181" s="398"/>
      <c r="D181" s="398"/>
      <c r="E181" s="398"/>
      <c r="F181" s="398"/>
      <c r="G181" s="398"/>
      <c r="H181" s="398"/>
      <c r="I181" s="398"/>
      <c r="J181" s="398"/>
      <c r="K181" s="398"/>
      <c r="L181" s="398"/>
      <c r="M181" s="398"/>
      <c r="N181" s="398"/>
      <c r="O181" s="398"/>
      <c r="P181" s="398"/>
      <c r="Q181" s="398"/>
      <c r="R181" s="398"/>
      <c r="S181" s="398"/>
      <c r="T181" s="398"/>
      <c r="U181" s="398"/>
      <c r="V181" s="398"/>
      <c r="W181" s="398"/>
      <c r="X181" s="398"/>
      <c r="Y181" s="398"/>
      <c r="Z181" s="398"/>
      <c r="AA181" s="398"/>
      <c r="AB181" s="398"/>
      <c r="AC181" s="398"/>
      <c r="AD181" s="398"/>
      <c r="AE181" s="398"/>
      <c r="AF181" s="398"/>
    </row>
    <row r="182" spans="1:32">
      <c r="A182" s="398"/>
      <c r="B182" s="398"/>
      <c r="C182" s="398"/>
      <c r="D182" s="398"/>
      <c r="E182" s="398"/>
      <c r="F182" s="398"/>
      <c r="G182" s="398"/>
      <c r="H182" s="398"/>
      <c r="I182" s="398"/>
      <c r="J182" s="398"/>
      <c r="K182" s="398"/>
      <c r="L182" s="398"/>
      <c r="M182" s="398"/>
      <c r="N182" s="398"/>
      <c r="O182" s="398"/>
      <c r="P182" s="398"/>
      <c r="Q182" s="398"/>
      <c r="R182" s="398"/>
      <c r="S182" s="398"/>
      <c r="T182" s="398"/>
      <c r="U182" s="398"/>
      <c r="V182" s="398"/>
      <c r="W182" s="398"/>
      <c r="X182" s="398"/>
      <c r="Y182" s="398"/>
      <c r="Z182" s="398"/>
      <c r="AA182" s="398"/>
      <c r="AB182" s="398"/>
      <c r="AC182" s="398"/>
      <c r="AD182" s="398"/>
      <c r="AE182" s="398"/>
      <c r="AF182" s="398"/>
    </row>
    <row r="183" spans="1:32">
      <c r="A183" s="398"/>
      <c r="B183" s="398"/>
      <c r="C183" s="398"/>
      <c r="D183" s="398"/>
      <c r="E183" s="398"/>
      <c r="F183" s="398"/>
      <c r="G183" s="398"/>
      <c r="H183" s="398"/>
      <c r="I183" s="398"/>
      <c r="J183" s="398"/>
      <c r="K183" s="398"/>
      <c r="L183" s="398"/>
      <c r="M183" s="398"/>
      <c r="N183" s="398"/>
      <c r="O183" s="398"/>
      <c r="P183" s="398"/>
      <c r="Q183" s="398"/>
      <c r="R183" s="398"/>
      <c r="S183" s="398"/>
      <c r="T183" s="398"/>
      <c r="U183" s="398"/>
      <c r="V183" s="398"/>
      <c r="W183" s="398"/>
      <c r="X183" s="398"/>
      <c r="Y183" s="398"/>
      <c r="Z183" s="398"/>
      <c r="AA183" s="398"/>
      <c r="AB183" s="398"/>
      <c r="AC183" s="398"/>
      <c r="AD183" s="398"/>
      <c r="AE183" s="398"/>
      <c r="AF183" s="398"/>
    </row>
    <row r="184" spans="1:32">
      <c r="A184" s="398"/>
      <c r="B184" s="398"/>
      <c r="C184" s="398"/>
      <c r="D184" s="398"/>
      <c r="E184" s="398"/>
      <c r="F184" s="398"/>
      <c r="G184" s="398"/>
      <c r="H184" s="398"/>
      <c r="I184" s="398"/>
      <c r="J184" s="398"/>
      <c r="K184" s="398"/>
      <c r="L184" s="398"/>
      <c r="M184" s="398"/>
      <c r="N184" s="398"/>
      <c r="O184" s="398"/>
      <c r="P184" s="398"/>
      <c r="Q184" s="398"/>
      <c r="R184" s="398"/>
      <c r="S184" s="398"/>
      <c r="T184" s="398"/>
      <c r="U184" s="398"/>
      <c r="V184" s="398"/>
      <c r="W184" s="398"/>
      <c r="X184" s="398"/>
      <c r="Y184" s="398"/>
      <c r="Z184" s="398"/>
      <c r="AA184" s="398"/>
      <c r="AB184" s="398"/>
      <c r="AC184" s="398"/>
      <c r="AD184" s="398"/>
      <c r="AE184" s="398"/>
      <c r="AF184" s="398"/>
    </row>
    <row r="185" spans="1:32">
      <c r="A185" s="398"/>
      <c r="B185" s="398"/>
      <c r="C185" s="398"/>
      <c r="D185" s="398"/>
      <c r="E185" s="398"/>
      <c r="F185" s="398"/>
      <c r="G185" s="398"/>
      <c r="H185" s="398"/>
      <c r="I185" s="398"/>
      <c r="J185" s="398"/>
      <c r="K185" s="398"/>
      <c r="L185" s="398"/>
      <c r="M185" s="398"/>
      <c r="N185" s="398"/>
      <c r="O185" s="398"/>
      <c r="P185" s="398"/>
      <c r="Q185" s="398"/>
      <c r="R185" s="398"/>
      <c r="S185" s="398"/>
      <c r="T185" s="398"/>
      <c r="U185" s="398"/>
      <c r="V185" s="398"/>
      <c r="W185" s="398"/>
      <c r="X185" s="398"/>
      <c r="Y185" s="398"/>
      <c r="Z185" s="398"/>
      <c r="AA185" s="398"/>
      <c r="AB185" s="398"/>
      <c r="AC185" s="398"/>
      <c r="AD185" s="398"/>
      <c r="AE185" s="398"/>
      <c r="AF185" s="398"/>
    </row>
    <row r="186" spans="1:32">
      <c r="A186" s="398"/>
      <c r="B186" s="398"/>
      <c r="C186" s="398"/>
      <c r="D186" s="398"/>
      <c r="E186" s="398"/>
      <c r="F186" s="398"/>
      <c r="G186" s="398"/>
      <c r="H186" s="398"/>
      <c r="I186" s="398"/>
      <c r="J186" s="398"/>
      <c r="K186" s="398"/>
      <c r="L186" s="398"/>
      <c r="M186" s="398"/>
      <c r="N186" s="398"/>
      <c r="O186" s="398"/>
      <c r="P186" s="398"/>
      <c r="Q186" s="398"/>
      <c r="R186" s="398"/>
      <c r="S186" s="398"/>
      <c r="T186" s="398"/>
      <c r="U186" s="398"/>
      <c r="V186" s="398"/>
      <c r="W186" s="398"/>
      <c r="X186" s="398"/>
      <c r="Y186" s="398"/>
      <c r="Z186" s="398"/>
      <c r="AA186" s="398"/>
      <c r="AB186" s="398"/>
      <c r="AC186" s="398"/>
      <c r="AD186" s="398"/>
      <c r="AE186" s="398"/>
      <c r="AF186" s="398"/>
    </row>
    <row r="187" spans="1:32">
      <c r="A187" s="398"/>
      <c r="B187" s="398"/>
      <c r="C187" s="398"/>
      <c r="D187" s="398"/>
      <c r="E187" s="398"/>
      <c r="F187" s="398"/>
      <c r="G187" s="398"/>
      <c r="H187" s="398"/>
      <c r="I187" s="398"/>
      <c r="J187" s="398"/>
      <c r="K187" s="398"/>
      <c r="L187" s="398"/>
      <c r="M187" s="398"/>
      <c r="N187" s="398"/>
      <c r="O187" s="398"/>
      <c r="P187" s="398"/>
      <c r="Q187" s="398"/>
      <c r="R187" s="398"/>
      <c r="S187" s="398"/>
      <c r="T187" s="398"/>
      <c r="U187" s="398"/>
      <c r="V187" s="398"/>
      <c r="W187" s="398"/>
      <c r="X187" s="398"/>
      <c r="Y187" s="398"/>
      <c r="Z187" s="398"/>
      <c r="AA187" s="398"/>
      <c r="AB187" s="398"/>
      <c r="AC187" s="398"/>
      <c r="AD187" s="398"/>
      <c r="AE187" s="398"/>
      <c r="AF187" s="398"/>
    </row>
    <row r="188" spans="1:32">
      <c r="A188" s="398"/>
      <c r="B188" s="398"/>
      <c r="C188" s="398"/>
      <c r="D188" s="398"/>
      <c r="E188" s="398"/>
      <c r="F188" s="398"/>
      <c r="G188" s="398"/>
      <c r="H188" s="398"/>
      <c r="I188" s="398"/>
      <c r="J188" s="398"/>
      <c r="K188" s="398"/>
      <c r="L188" s="398"/>
      <c r="M188" s="398"/>
      <c r="N188" s="398"/>
      <c r="O188" s="398"/>
      <c r="P188" s="398"/>
      <c r="Q188" s="398"/>
      <c r="R188" s="398"/>
      <c r="S188" s="398"/>
      <c r="T188" s="398"/>
      <c r="U188" s="398"/>
      <c r="V188" s="398"/>
      <c r="W188" s="398"/>
      <c r="X188" s="398"/>
      <c r="Y188" s="398"/>
      <c r="Z188" s="398"/>
      <c r="AA188" s="398"/>
      <c r="AB188" s="398"/>
      <c r="AC188" s="398"/>
      <c r="AD188" s="398"/>
      <c r="AE188" s="398"/>
      <c r="AF188" s="398"/>
    </row>
    <row r="189" spans="1:32">
      <c r="A189" s="398"/>
      <c r="B189" s="398"/>
      <c r="C189" s="398"/>
      <c r="D189" s="398"/>
      <c r="E189" s="398"/>
      <c r="F189" s="398"/>
      <c r="G189" s="398"/>
      <c r="H189" s="398"/>
      <c r="I189" s="398"/>
      <c r="J189" s="398"/>
      <c r="K189" s="398"/>
      <c r="L189" s="398"/>
      <c r="M189" s="398"/>
      <c r="N189" s="398"/>
      <c r="O189" s="398"/>
      <c r="P189" s="398"/>
      <c r="Q189" s="398"/>
      <c r="R189" s="398"/>
      <c r="S189" s="398"/>
      <c r="T189" s="398"/>
      <c r="U189" s="398"/>
      <c r="V189" s="398"/>
      <c r="W189" s="398"/>
      <c r="X189" s="398"/>
      <c r="Y189" s="398"/>
      <c r="Z189" s="398"/>
      <c r="AA189" s="398"/>
      <c r="AB189" s="398"/>
      <c r="AC189" s="398"/>
      <c r="AD189" s="398"/>
      <c r="AE189" s="398"/>
      <c r="AF189" s="398"/>
    </row>
    <row r="190" spans="1:32">
      <c r="A190" s="398"/>
      <c r="B190" s="398"/>
      <c r="C190" s="398"/>
      <c r="D190" s="398"/>
      <c r="E190" s="398"/>
      <c r="F190" s="398"/>
      <c r="G190" s="398"/>
      <c r="H190" s="398"/>
      <c r="I190" s="398"/>
      <c r="J190" s="398"/>
      <c r="K190" s="398"/>
      <c r="L190" s="398"/>
      <c r="M190" s="398"/>
      <c r="N190" s="398"/>
      <c r="O190" s="398"/>
      <c r="P190" s="398"/>
      <c r="Q190" s="398"/>
      <c r="R190" s="398"/>
      <c r="S190" s="398"/>
      <c r="T190" s="398"/>
      <c r="U190" s="398"/>
      <c r="V190" s="398"/>
      <c r="W190" s="398"/>
      <c r="X190" s="398"/>
      <c r="Y190" s="398"/>
      <c r="Z190" s="398"/>
      <c r="AA190" s="398"/>
      <c r="AB190" s="398"/>
      <c r="AC190" s="398"/>
      <c r="AD190" s="398"/>
      <c r="AE190" s="398"/>
      <c r="AF190" s="398"/>
    </row>
    <row r="191" spans="1:32">
      <c r="A191" s="398"/>
      <c r="B191" s="398"/>
      <c r="C191" s="398"/>
      <c r="D191" s="398"/>
      <c r="E191" s="398"/>
      <c r="F191" s="398"/>
      <c r="G191" s="398"/>
      <c r="H191" s="398"/>
      <c r="I191" s="398"/>
      <c r="J191" s="398"/>
      <c r="K191" s="398"/>
      <c r="L191" s="398"/>
      <c r="M191" s="398"/>
      <c r="N191" s="398"/>
      <c r="O191" s="398"/>
      <c r="P191" s="398"/>
      <c r="Q191" s="398"/>
      <c r="R191" s="398"/>
      <c r="S191" s="398"/>
      <c r="T191" s="398"/>
      <c r="U191" s="398"/>
      <c r="V191" s="398"/>
      <c r="W191" s="398"/>
      <c r="X191" s="398"/>
      <c r="Y191" s="398"/>
      <c r="Z191" s="398"/>
      <c r="AA191" s="398"/>
      <c r="AB191" s="398"/>
      <c r="AC191" s="398"/>
      <c r="AD191" s="398"/>
      <c r="AE191" s="398"/>
      <c r="AF191" s="398"/>
    </row>
    <row r="192" spans="1:32">
      <c r="A192" s="398"/>
      <c r="B192" s="398"/>
      <c r="C192" s="398"/>
      <c r="D192" s="398"/>
      <c r="E192" s="398"/>
      <c r="F192" s="398"/>
      <c r="G192" s="398"/>
      <c r="H192" s="398"/>
      <c r="I192" s="398"/>
      <c r="J192" s="398"/>
      <c r="K192" s="398"/>
      <c r="L192" s="398"/>
      <c r="M192" s="398"/>
      <c r="N192" s="398"/>
      <c r="O192" s="398"/>
      <c r="P192" s="398"/>
      <c r="Q192" s="398"/>
      <c r="R192" s="398"/>
      <c r="S192" s="398"/>
      <c r="T192" s="398"/>
      <c r="U192" s="398"/>
      <c r="V192" s="398"/>
      <c r="W192" s="398"/>
      <c r="X192" s="398"/>
      <c r="Y192" s="398"/>
      <c r="Z192" s="398"/>
      <c r="AA192" s="398"/>
      <c r="AB192" s="398"/>
      <c r="AC192" s="398"/>
      <c r="AD192" s="398"/>
      <c r="AE192" s="398"/>
      <c r="AF192" s="398"/>
    </row>
    <row r="193" spans="1:32">
      <c r="A193" s="398"/>
      <c r="B193" s="398"/>
      <c r="C193" s="398"/>
      <c r="D193" s="398"/>
      <c r="E193" s="398"/>
      <c r="F193" s="398"/>
      <c r="G193" s="398"/>
      <c r="H193" s="398"/>
      <c r="I193" s="398"/>
      <c r="J193" s="398"/>
      <c r="K193" s="398"/>
      <c r="L193" s="398"/>
      <c r="M193" s="398"/>
      <c r="N193" s="398"/>
      <c r="O193" s="398"/>
      <c r="P193" s="398"/>
      <c r="Q193" s="398"/>
      <c r="R193" s="398"/>
      <c r="S193" s="398"/>
      <c r="T193" s="398"/>
      <c r="U193" s="398"/>
      <c r="V193" s="398"/>
      <c r="W193" s="398"/>
      <c r="X193" s="398"/>
      <c r="Y193" s="398"/>
      <c r="Z193" s="398"/>
      <c r="AA193" s="398"/>
      <c r="AB193" s="398"/>
      <c r="AC193" s="398"/>
      <c r="AD193" s="398"/>
      <c r="AE193" s="398"/>
      <c r="AF193" s="398"/>
    </row>
    <row r="194" spans="1:32">
      <c r="A194" s="398"/>
      <c r="B194" s="398"/>
      <c r="C194" s="398"/>
      <c r="D194" s="398"/>
      <c r="E194" s="398"/>
      <c r="F194" s="398"/>
      <c r="G194" s="398"/>
      <c r="H194" s="398"/>
      <c r="I194" s="398"/>
      <c r="J194" s="398"/>
      <c r="K194" s="398"/>
      <c r="L194" s="398"/>
      <c r="M194" s="398"/>
      <c r="N194" s="398"/>
      <c r="O194" s="398"/>
      <c r="P194" s="398"/>
      <c r="Q194" s="398"/>
      <c r="R194" s="398"/>
      <c r="S194" s="398"/>
      <c r="T194" s="398"/>
      <c r="U194" s="398"/>
      <c r="V194" s="398"/>
      <c r="W194" s="398"/>
      <c r="X194" s="398"/>
      <c r="Y194" s="398"/>
      <c r="Z194" s="398"/>
      <c r="AA194" s="398"/>
      <c r="AB194" s="398"/>
      <c r="AC194" s="398"/>
      <c r="AD194" s="398"/>
      <c r="AE194" s="398"/>
      <c r="AF194" s="398"/>
    </row>
    <row r="195" spans="1:32">
      <c r="A195" s="398"/>
      <c r="B195" s="398"/>
      <c r="C195" s="398"/>
      <c r="D195" s="398"/>
      <c r="E195" s="398"/>
      <c r="F195" s="398"/>
      <c r="G195" s="398"/>
      <c r="H195" s="398"/>
      <c r="I195" s="398"/>
      <c r="J195" s="398"/>
      <c r="K195" s="398"/>
      <c r="L195" s="398"/>
      <c r="M195" s="398"/>
      <c r="N195" s="398"/>
      <c r="O195" s="398"/>
      <c r="P195" s="398"/>
      <c r="Q195" s="398"/>
      <c r="R195" s="398"/>
      <c r="S195" s="398"/>
      <c r="T195" s="398"/>
      <c r="U195" s="398"/>
      <c r="V195" s="398"/>
      <c r="W195" s="398"/>
      <c r="X195" s="398"/>
      <c r="Y195" s="398"/>
      <c r="Z195" s="398"/>
      <c r="AA195" s="398"/>
      <c r="AB195" s="398"/>
      <c r="AC195" s="398"/>
      <c r="AD195" s="398"/>
      <c r="AE195" s="398"/>
      <c r="AF195" s="398"/>
    </row>
    <row r="196" spans="1:32">
      <c r="A196" s="398"/>
      <c r="B196" s="398"/>
      <c r="C196" s="398"/>
      <c r="D196" s="398"/>
      <c r="E196" s="398"/>
      <c r="F196" s="398"/>
      <c r="G196" s="398"/>
      <c r="H196" s="398"/>
      <c r="I196" s="398"/>
      <c r="J196" s="398"/>
      <c r="K196" s="398"/>
      <c r="L196" s="398"/>
      <c r="M196" s="398"/>
      <c r="N196" s="398"/>
      <c r="O196" s="398"/>
      <c r="P196" s="398"/>
      <c r="Q196" s="398"/>
      <c r="R196" s="398"/>
      <c r="S196" s="398"/>
      <c r="T196" s="398"/>
      <c r="U196" s="398"/>
      <c r="V196" s="398"/>
      <c r="W196" s="398"/>
      <c r="X196" s="398"/>
      <c r="Y196" s="398"/>
      <c r="Z196" s="398"/>
      <c r="AA196" s="398"/>
      <c r="AB196" s="398"/>
      <c r="AC196" s="398"/>
      <c r="AD196" s="398"/>
      <c r="AE196" s="398"/>
      <c r="AF196" s="398"/>
    </row>
  </sheetData>
  <sheetProtection selectLockedCells="1"/>
  <mergeCells count="5">
    <mergeCell ref="G20:J20"/>
    <mergeCell ref="B4:K4"/>
    <mergeCell ref="B3:K3"/>
    <mergeCell ref="G49:J49"/>
    <mergeCell ref="C81:K81"/>
  </mergeCells>
  <hyperlinks>
    <hyperlink ref="B131" r:id="rId1" display="© Copyright, 2006-2009, Hall Consulting &amp; Research LLC, All Rights Reserved.  http://hallcr.com" xr:uid="{00000000-0004-0000-0400-000000000000}"/>
  </hyperlinks>
  <pageMargins left="0.7" right="0.7" top="0.75" bottom="0.75" header="0.3" footer="0.3"/>
  <pageSetup scale="55" fitToHeight="100" orientation="portrait" horizontalDpi="300" verticalDpi="300" r:id="rId2"/>
  <headerFooter>
    <oddHeader>&amp;CAnalysisPlace.com   IT Project ROI and Business Case Toolkit</oddHeader>
    <oddFooter>&amp;L&amp;A&amp;C&amp;F&amp;R&amp;P of &amp;N</oddFooter>
  </headerFooter>
  <rowBreaks count="1" manualBreakCount="1">
    <brk id="64" max="12"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00B050"/>
    <outlinePr summaryBelow="0" summaryRight="0"/>
  </sheetPr>
  <dimension ref="A1:N148"/>
  <sheetViews>
    <sheetView showGridLines="0" workbookViewId="0" xr3:uid="{78B4E459-6924-5F8B-B7BA-2DD04133E49E}"/>
  </sheetViews>
  <sheetFormatPr defaultColWidth="9.140625" defaultRowHeight="12.75"/>
  <cols>
    <col min="1" max="1" width="1.7109375" style="32" customWidth="1"/>
    <col min="2" max="2" width="2.28515625" style="32" customWidth="1"/>
    <col min="3" max="3" width="2.42578125" style="32" customWidth="1"/>
    <col min="4" max="4" width="35" style="32" customWidth="1"/>
    <col min="5" max="5" width="12.28515625" style="32" customWidth="1"/>
    <col min="6" max="6" width="14" style="32" customWidth="1"/>
    <col min="7" max="7" width="13.28515625" style="32" customWidth="1"/>
    <col min="8" max="8" width="13.7109375" style="32" customWidth="1"/>
    <col min="9" max="9" width="17" style="32" bestFit="1" customWidth="1"/>
    <col min="10" max="10" width="12" style="32" bestFit="1" customWidth="1"/>
    <col min="11" max="11" width="1.28515625" style="32" customWidth="1"/>
    <col min="12" max="16384" width="9.140625" style="10"/>
  </cols>
  <sheetData>
    <row r="1" spans="1:14" s="105" customFormat="1" ht="30" customHeight="1">
      <c r="A1" s="419"/>
      <c r="B1" s="420" t="s">
        <v>165</v>
      </c>
      <c r="C1" s="419"/>
      <c r="D1" s="419"/>
      <c r="E1" s="419"/>
      <c r="F1" s="419"/>
      <c r="G1" s="419"/>
      <c r="H1" s="419"/>
      <c r="I1" s="419"/>
      <c r="J1" s="419"/>
      <c r="K1" s="419"/>
      <c r="L1" s="100" t="s">
        <v>0</v>
      </c>
      <c r="M1" s="398"/>
      <c r="N1" s="398"/>
    </row>
    <row r="2" spans="1:14" ht="27">
      <c r="A2" s="4" t="s">
        <v>25</v>
      </c>
      <c r="B2" s="4"/>
      <c r="C2" s="398"/>
      <c r="D2" s="398"/>
      <c r="E2" s="398"/>
      <c r="F2" s="398"/>
      <c r="G2" s="398"/>
      <c r="H2" s="398"/>
      <c r="I2" s="398"/>
      <c r="J2" s="4"/>
      <c r="K2" s="398"/>
      <c r="L2" s="398"/>
      <c r="M2" s="398"/>
      <c r="N2" s="398"/>
    </row>
    <row r="3" spans="1:14" ht="33.75" customHeight="1">
      <c r="A3" s="216"/>
      <c r="B3" s="216"/>
      <c r="C3" s="764" t="s">
        <v>433</v>
      </c>
      <c r="D3" s="764"/>
      <c r="E3" s="764"/>
      <c r="F3" s="764"/>
      <c r="G3" s="764"/>
      <c r="H3" s="764"/>
      <c r="I3" s="764"/>
      <c r="J3" s="764"/>
      <c r="K3" s="398"/>
      <c r="L3" s="398"/>
      <c r="M3" s="398"/>
      <c r="N3" s="398"/>
    </row>
    <row r="4" spans="1:14" ht="22.5">
      <c r="A4" s="398"/>
      <c r="B4" s="3" t="s">
        <v>229</v>
      </c>
      <c r="C4" s="398"/>
      <c r="D4" s="398"/>
      <c r="E4" s="398"/>
      <c r="F4" s="398"/>
      <c r="G4" s="398"/>
      <c r="H4" s="398"/>
      <c r="I4" s="398"/>
      <c r="J4" s="398"/>
      <c r="K4" s="398"/>
      <c r="L4" s="398"/>
      <c r="M4" s="398"/>
      <c r="N4" s="398"/>
    </row>
    <row r="5" spans="1:14" s="25" customFormat="1" ht="22.5" customHeight="1">
      <c r="A5" s="398"/>
      <c r="B5" s="3"/>
      <c r="C5" s="398"/>
      <c r="D5" s="398"/>
      <c r="E5" s="835" t="s">
        <v>230</v>
      </c>
      <c r="F5" s="783"/>
      <c r="G5" s="782"/>
      <c r="H5" s="835" t="s">
        <v>231</v>
      </c>
      <c r="I5" s="783"/>
      <c r="J5" s="835"/>
      <c r="K5" s="398"/>
      <c r="L5" s="398"/>
      <c r="M5" s="398"/>
      <c r="N5" s="398"/>
    </row>
    <row r="6" spans="1:14" ht="25.5">
      <c r="A6" s="398"/>
      <c r="B6" s="398"/>
      <c r="C6" s="6" t="s">
        <v>434</v>
      </c>
      <c r="D6" s="398"/>
      <c r="E6" s="694" t="str">
        <f>ROI!$E$20</f>
        <v>One-Time</v>
      </c>
      <c r="F6" s="671" t="str">
        <f>ROI!$F$20</f>
        <v>Annual Recurring</v>
      </c>
      <c r="G6" s="671" t="str">
        <f>ROI!$G$20</f>
        <v>Project Total</v>
      </c>
      <c r="H6" s="694" t="str">
        <f>$E$6</f>
        <v>One-Time</v>
      </c>
      <c r="I6" s="671" t="str">
        <f>$F$6</f>
        <v>Annual Recurring</v>
      </c>
      <c r="J6" s="671" t="str">
        <f>$G$6</f>
        <v>Project Total</v>
      </c>
      <c r="K6" s="398"/>
      <c r="L6" s="398"/>
      <c r="M6" s="398"/>
      <c r="N6" s="398"/>
    </row>
    <row r="7" spans="1:14">
      <c r="A7" s="398"/>
      <c r="B7" s="398"/>
      <c r="C7" s="398"/>
      <c r="D7" s="301" t="s">
        <v>435</v>
      </c>
      <c r="E7" s="573">
        <f>F58</f>
        <v>4912.664329485021</v>
      </c>
      <c r="F7" s="539">
        <f>G58</f>
        <v>3356.9872918147639</v>
      </c>
      <c r="G7" s="539">
        <f t="shared" ref="G7:G12" si="0">E7+F7*ProjectTtlMultBen</f>
        <v>21697.600788558841</v>
      </c>
      <c r="H7" s="539">
        <f t="shared" ref="H7:I12" si="1">E7/PCUsers</f>
        <v>1.7849999999999999</v>
      </c>
      <c r="I7" s="539">
        <f t="shared" si="1"/>
        <v>1.2197499999999999</v>
      </c>
      <c r="J7" s="539">
        <f t="shared" ref="J7:J12" si="2">H7+I7*ProjectTtlMultBen</f>
        <v>7.8837499999999991</v>
      </c>
      <c r="K7" s="398"/>
      <c r="L7" s="398"/>
      <c r="M7" s="398"/>
      <c r="N7" s="398"/>
    </row>
    <row r="8" spans="1:14">
      <c r="A8" s="398"/>
      <c r="B8" s="398"/>
      <c r="C8" s="398"/>
      <c r="D8" s="301" t="s">
        <v>436</v>
      </c>
      <c r="E8" s="573">
        <f>F71</f>
        <v>8215.2958114917583</v>
      </c>
      <c r="F8" s="539">
        <f>G71</f>
        <v>1232.2943717237638</v>
      </c>
      <c r="G8" s="539">
        <f t="shared" si="0"/>
        <v>14376.767670110577</v>
      </c>
      <c r="H8" s="539">
        <f t="shared" si="1"/>
        <v>2.9850000000000003</v>
      </c>
      <c r="I8" s="539">
        <f t="shared" si="1"/>
        <v>0.44775000000000004</v>
      </c>
      <c r="J8" s="539">
        <f t="shared" si="2"/>
        <v>5.2237500000000008</v>
      </c>
      <c r="K8" s="398"/>
      <c r="L8" s="398"/>
      <c r="M8" s="398"/>
      <c r="N8" s="398"/>
    </row>
    <row r="9" spans="1:14" s="21" customFormat="1">
      <c r="A9" s="398"/>
      <c r="B9" s="398"/>
      <c r="C9" s="398"/>
      <c r="D9" s="301" t="s">
        <v>369</v>
      </c>
      <c r="E9" s="573">
        <f>F80</f>
        <v>7430.9208345151583</v>
      </c>
      <c r="F9" s="539">
        <f>G80</f>
        <v>1114.6381251772737</v>
      </c>
      <c r="G9" s="539">
        <f t="shared" si="0"/>
        <v>13004.111460401527</v>
      </c>
      <c r="H9" s="539">
        <f t="shared" si="1"/>
        <v>2.7</v>
      </c>
      <c r="I9" s="539">
        <f t="shared" si="1"/>
        <v>0.40499999999999997</v>
      </c>
      <c r="J9" s="539">
        <f t="shared" si="2"/>
        <v>4.7249999999999996</v>
      </c>
      <c r="K9" s="398"/>
      <c r="L9" s="398"/>
      <c r="M9" s="398"/>
      <c r="N9" s="398"/>
    </row>
    <row r="10" spans="1:14" s="21" customFormat="1">
      <c r="A10" s="398"/>
      <c r="B10" s="398"/>
      <c r="C10" s="398"/>
      <c r="D10" s="301" t="s">
        <v>437</v>
      </c>
      <c r="E10" s="573">
        <f>F89</f>
        <v>0</v>
      </c>
      <c r="F10" s="539">
        <f>G89</f>
        <v>1651.3157410033682</v>
      </c>
      <c r="G10" s="539">
        <f t="shared" si="0"/>
        <v>8256.5787050168401</v>
      </c>
      <c r="H10" s="539">
        <f t="shared" si="1"/>
        <v>0</v>
      </c>
      <c r="I10" s="539">
        <f t="shared" si="1"/>
        <v>0.6</v>
      </c>
      <c r="J10" s="539">
        <f t="shared" si="2"/>
        <v>3</v>
      </c>
      <c r="K10" s="398"/>
      <c r="L10" s="398"/>
      <c r="M10" s="398"/>
      <c r="N10" s="398"/>
    </row>
    <row r="11" spans="1:14" s="21" customFormat="1">
      <c r="A11" s="398"/>
      <c r="B11" s="398"/>
      <c r="C11" s="398"/>
      <c r="D11" s="301" t="s">
        <v>438</v>
      </c>
      <c r="E11" s="573"/>
      <c r="F11" s="539">
        <f>G105</f>
        <v>4371.7531529279295</v>
      </c>
      <c r="G11" s="539">
        <f t="shared" si="0"/>
        <v>21858.765764639647</v>
      </c>
      <c r="H11" s="539">
        <f t="shared" si="1"/>
        <v>0</v>
      </c>
      <c r="I11" s="539">
        <f t="shared" si="1"/>
        <v>1.5884617500000002</v>
      </c>
      <c r="J11" s="539">
        <f t="shared" si="2"/>
        <v>7.9423087500000014</v>
      </c>
      <c r="K11" s="398"/>
      <c r="L11" s="398"/>
      <c r="M11" s="398"/>
      <c r="N11" s="398"/>
    </row>
    <row r="12" spans="1:14" s="21" customFormat="1" ht="13.5" thickBot="1">
      <c r="A12" s="398"/>
      <c r="B12" s="398"/>
      <c r="C12" s="398"/>
      <c r="D12" s="301" t="s">
        <v>439</v>
      </c>
      <c r="E12" s="573">
        <f>F113</f>
        <v>0</v>
      </c>
      <c r="F12" s="539">
        <f>G113</f>
        <v>2683.3880791304737</v>
      </c>
      <c r="G12" s="539">
        <f t="shared" si="0"/>
        <v>13416.940395652367</v>
      </c>
      <c r="H12" s="539">
        <f t="shared" si="1"/>
        <v>0</v>
      </c>
      <c r="I12" s="539">
        <f t="shared" si="1"/>
        <v>0.97499999999999998</v>
      </c>
      <c r="J12" s="539">
        <f t="shared" si="2"/>
        <v>4.875</v>
      </c>
      <c r="K12" s="398"/>
      <c r="L12" s="398"/>
      <c r="M12" s="398"/>
      <c r="N12" s="398"/>
    </row>
    <row r="13" spans="1:14" ht="13.5" thickTop="1">
      <c r="A13" s="398"/>
      <c r="B13" s="398"/>
      <c r="C13" s="398"/>
      <c r="D13" s="217" t="s">
        <v>259</v>
      </c>
      <c r="E13" s="560">
        <f t="shared" ref="E13:J13" si="3">SUM(E7:E12)</f>
        <v>20558.880975491935</v>
      </c>
      <c r="F13" s="550">
        <f t="shared" si="3"/>
        <v>14410.376761777574</v>
      </c>
      <c r="G13" s="550">
        <f t="shared" si="3"/>
        <v>92610.764784379804</v>
      </c>
      <c r="H13" s="550">
        <f t="shared" si="3"/>
        <v>7.4700000000000006</v>
      </c>
      <c r="I13" s="550">
        <f t="shared" si="3"/>
        <v>5.2359617499999995</v>
      </c>
      <c r="J13" s="550">
        <f t="shared" si="3"/>
        <v>33.649808750000005</v>
      </c>
      <c r="K13" s="398"/>
      <c r="L13" s="398"/>
      <c r="M13" s="398"/>
      <c r="N13" s="398"/>
    </row>
    <row r="14" spans="1:14">
      <c r="A14" s="398"/>
      <c r="B14" s="398"/>
      <c r="C14" s="398"/>
      <c r="D14" s="11"/>
      <c r="E14" s="398"/>
      <c r="F14" s="53"/>
      <c r="G14" s="53"/>
      <c r="H14" s="398"/>
      <c r="I14" s="53"/>
      <c r="J14" s="53"/>
      <c r="K14" s="398"/>
      <c r="L14" s="398"/>
      <c r="M14" s="398"/>
      <c r="N14" s="398"/>
    </row>
    <row r="15" spans="1:14" ht="15">
      <c r="A15" s="398"/>
      <c r="B15" s="398"/>
      <c r="C15" s="6" t="s">
        <v>440</v>
      </c>
      <c r="D15" s="398"/>
      <c r="E15" s="398"/>
      <c r="F15" s="53"/>
      <c r="G15" s="53"/>
      <c r="H15" s="398"/>
      <c r="I15" s="53"/>
      <c r="J15" s="53"/>
      <c r="K15" s="398"/>
      <c r="L15" s="398"/>
      <c r="M15" s="398"/>
      <c r="N15" s="398"/>
    </row>
    <row r="16" spans="1:14" s="21" customFormat="1">
      <c r="A16" s="398"/>
      <c r="B16" s="398"/>
      <c r="C16" s="398"/>
      <c r="D16" s="301" t="s">
        <v>441</v>
      </c>
      <c r="E16" s="573"/>
      <c r="F16" s="539">
        <f>E123</f>
        <v>0</v>
      </c>
      <c r="G16" s="539">
        <f>E16+F16*ProjectTtlMultBen</f>
        <v>0</v>
      </c>
      <c r="H16" s="539">
        <f t="shared" ref="H16:I18" si="4">E16/PCUsers</f>
        <v>0</v>
      </c>
      <c r="I16" s="539">
        <f t="shared" si="4"/>
        <v>0</v>
      </c>
      <c r="J16" s="539">
        <f>H16+I16*ProjectTtlMultBen</f>
        <v>0</v>
      </c>
      <c r="K16" s="398"/>
      <c r="L16" s="398"/>
      <c r="M16" s="398"/>
      <c r="N16" s="398"/>
    </row>
    <row r="17" spans="1:14">
      <c r="A17" s="398"/>
      <c r="B17" s="398"/>
      <c r="C17" s="398"/>
      <c r="D17" s="301" t="s">
        <v>442</v>
      </c>
      <c r="E17" s="573">
        <f>F132</f>
        <v>0</v>
      </c>
      <c r="F17" s="539">
        <f>G132</f>
        <v>0</v>
      </c>
      <c r="G17" s="539">
        <f>E17+F17*ProjectTtlMultBen</f>
        <v>0</v>
      </c>
      <c r="H17" s="539">
        <f t="shared" si="4"/>
        <v>0</v>
      </c>
      <c r="I17" s="539">
        <f t="shared" si="4"/>
        <v>0</v>
      </c>
      <c r="J17" s="539">
        <f>H17+I17*ProjectTtlMultBen</f>
        <v>0</v>
      </c>
      <c r="K17" s="398"/>
      <c r="L17" s="398"/>
      <c r="M17" s="398"/>
      <c r="N17" s="398"/>
    </row>
    <row r="18" spans="1:14" ht="13.5" thickBot="1">
      <c r="A18" s="398"/>
      <c r="B18" s="398"/>
      <c r="C18" s="398"/>
      <c r="D18" s="302" t="s">
        <v>443</v>
      </c>
      <c r="E18" s="573">
        <f>F144</f>
        <v>0</v>
      </c>
      <c r="F18" s="539">
        <f>G144</f>
        <v>0</v>
      </c>
      <c r="G18" s="539">
        <f>E18+F18*ProjectTtlMultBen</f>
        <v>0</v>
      </c>
      <c r="H18" s="539">
        <f t="shared" si="4"/>
        <v>0</v>
      </c>
      <c r="I18" s="539">
        <f t="shared" si="4"/>
        <v>0</v>
      </c>
      <c r="J18" s="539">
        <f>H18+I18*ProjectTtlMultBen</f>
        <v>0</v>
      </c>
      <c r="K18" s="398"/>
      <c r="L18" s="398"/>
      <c r="M18" s="398"/>
      <c r="N18" s="398"/>
    </row>
    <row r="19" spans="1:14" ht="13.5" thickTop="1">
      <c r="A19" s="398"/>
      <c r="B19" s="398"/>
      <c r="C19" s="398"/>
      <c r="D19" s="215" t="str">
        <f>$D$13</f>
        <v>Total</v>
      </c>
      <c r="E19" s="550">
        <f t="shared" ref="E19:J19" si="5">SUM(E16:E18)</f>
        <v>0</v>
      </c>
      <c r="F19" s="550">
        <f t="shared" si="5"/>
        <v>0</v>
      </c>
      <c r="G19" s="550">
        <f t="shared" si="5"/>
        <v>0</v>
      </c>
      <c r="H19" s="550">
        <f t="shared" si="5"/>
        <v>0</v>
      </c>
      <c r="I19" s="550">
        <f t="shared" si="5"/>
        <v>0</v>
      </c>
      <c r="J19" s="550">
        <f t="shared" si="5"/>
        <v>0</v>
      </c>
      <c r="K19" s="398"/>
      <c r="L19" s="398"/>
      <c r="M19" s="398"/>
      <c r="N19" s="398"/>
    </row>
    <row r="20" spans="1:14" ht="13.5" thickBot="1">
      <c r="A20" s="398"/>
      <c r="B20" s="398"/>
      <c r="C20" s="398"/>
      <c r="D20" s="398"/>
      <c r="E20" s="398"/>
      <c r="F20" s="398"/>
      <c r="G20" s="398"/>
      <c r="H20" s="398"/>
      <c r="I20" s="398"/>
      <c r="J20" s="398"/>
      <c r="K20" s="398"/>
      <c r="L20" s="398"/>
      <c r="M20" s="398"/>
      <c r="N20" s="398"/>
    </row>
    <row r="21" spans="1:14" s="25" customFormat="1" ht="13.5" thickTop="1">
      <c r="A21" s="398"/>
      <c r="B21" s="398"/>
      <c r="C21" s="398"/>
      <c r="D21" s="217" t="str">
        <f>D13</f>
        <v>Total</v>
      </c>
      <c r="E21" s="550">
        <f t="shared" ref="E21:J21" si="6">E19+E13</f>
        <v>20558.880975491935</v>
      </c>
      <c r="F21" s="550">
        <f t="shared" si="6"/>
        <v>14410.376761777574</v>
      </c>
      <c r="G21" s="550">
        <f t="shared" si="6"/>
        <v>92610.764784379804</v>
      </c>
      <c r="H21" s="550">
        <f t="shared" si="6"/>
        <v>7.4700000000000006</v>
      </c>
      <c r="I21" s="550">
        <f t="shared" si="6"/>
        <v>5.2359617499999995</v>
      </c>
      <c r="J21" s="550">
        <f t="shared" si="6"/>
        <v>33.649808750000005</v>
      </c>
      <c r="K21" s="398"/>
      <c r="L21" s="398"/>
      <c r="M21" s="398"/>
      <c r="N21" s="398"/>
    </row>
    <row r="22" spans="1:14">
      <c r="A22" s="398"/>
      <c r="B22" s="398"/>
      <c r="C22" s="398"/>
      <c r="D22" s="398"/>
      <c r="E22" s="398"/>
      <c r="F22" s="398"/>
      <c r="G22" s="398"/>
      <c r="H22" s="398"/>
      <c r="I22" s="398"/>
      <c r="J22" s="398"/>
      <c r="K22" s="398"/>
      <c r="L22" s="398"/>
      <c r="M22" s="398"/>
      <c r="N22" s="398"/>
    </row>
    <row r="23" spans="1:14">
      <c r="A23" s="398"/>
      <c r="B23" s="398"/>
      <c r="C23" s="398"/>
      <c r="D23" s="398"/>
      <c r="E23" s="398"/>
      <c r="F23" s="398"/>
      <c r="G23" s="398"/>
      <c r="H23" s="398"/>
      <c r="I23" s="398"/>
      <c r="J23" s="398"/>
      <c r="K23" s="398"/>
      <c r="L23" s="398"/>
      <c r="M23" s="398"/>
      <c r="N23" s="398"/>
    </row>
    <row r="24" spans="1:14">
      <c r="A24" s="398"/>
      <c r="B24" s="398"/>
      <c r="C24" s="398"/>
      <c r="D24" s="398"/>
      <c r="E24" s="398"/>
      <c r="F24" s="398"/>
      <c r="G24" s="398"/>
      <c r="H24" s="398"/>
      <c r="I24" s="398"/>
      <c r="J24" s="398"/>
      <c r="K24" s="398"/>
      <c r="L24" s="37" t="s">
        <v>232</v>
      </c>
      <c r="M24" s="270" t="s">
        <v>444</v>
      </c>
      <c r="N24" s="222" t="s">
        <v>445</v>
      </c>
    </row>
    <row r="25" spans="1:14">
      <c r="A25" s="398"/>
      <c r="B25" s="398"/>
      <c r="C25" s="398"/>
      <c r="D25" s="398"/>
      <c r="E25" s="398"/>
      <c r="F25" s="398"/>
      <c r="G25" s="398"/>
      <c r="H25" s="398"/>
      <c r="I25" s="398"/>
      <c r="J25" s="398"/>
      <c r="K25" s="398"/>
      <c r="L25" s="270" t="s">
        <v>10</v>
      </c>
      <c r="M25" s="210" t="s">
        <v>25</v>
      </c>
      <c r="N25" s="203"/>
    </row>
    <row r="26" spans="1:14">
      <c r="A26" s="398"/>
      <c r="B26" s="398"/>
      <c r="C26" s="398"/>
      <c r="D26" s="398"/>
      <c r="E26" s="398"/>
      <c r="F26" s="398"/>
      <c r="G26" s="398"/>
      <c r="H26" s="398"/>
      <c r="I26" s="398"/>
      <c r="J26" s="398"/>
      <c r="K26" s="398"/>
      <c r="L26" s="270" t="s">
        <v>235</v>
      </c>
      <c r="M26" s="181" t="s">
        <v>446</v>
      </c>
      <c r="N26" s="202"/>
    </row>
    <row r="27" spans="1:14">
      <c r="A27" s="398"/>
      <c r="B27" s="398"/>
      <c r="C27" s="398"/>
      <c r="D27" s="398"/>
      <c r="E27" s="398"/>
      <c r="F27" s="398"/>
      <c r="G27" s="271"/>
      <c r="H27" s="398"/>
      <c r="I27" s="398"/>
      <c r="J27" s="398"/>
      <c r="K27" s="398"/>
      <c r="L27" s="270" t="s">
        <v>238</v>
      </c>
      <c r="M27" s="113"/>
      <c r="N27" s="181"/>
    </row>
    <row r="28" spans="1:14">
      <c r="A28" s="398"/>
      <c r="B28" s="398"/>
      <c r="C28" s="398"/>
      <c r="D28" s="398"/>
      <c r="E28" s="398"/>
      <c r="F28" s="398"/>
      <c r="G28" s="398"/>
      <c r="H28" s="398"/>
      <c r="I28" s="398"/>
      <c r="J28" s="398"/>
      <c r="K28" s="398"/>
      <c r="L28" s="77" t="s">
        <v>239</v>
      </c>
      <c r="M28" s="181"/>
      <c r="N28" s="181"/>
    </row>
    <row r="29" spans="1:14">
      <c r="A29" s="398"/>
      <c r="B29" s="398"/>
      <c r="C29" s="398"/>
      <c r="D29" s="398"/>
      <c r="E29" s="398"/>
      <c r="F29" s="398"/>
      <c r="G29" s="398"/>
      <c r="H29" s="398"/>
      <c r="I29" s="398"/>
      <c r="J29" s="398"/>
      <c r="K29" s="398"/>
      <c r="L29" s="398"/>
      <c r="M29" s="398"/>
      <c r="N29" s="398"/>
    </row>
    <row r="30" spans="1:14">
      <c r="A30" s="398"/>
      <c r="B30" s="398"/>
      <c r="C30" s="398"/>
      <c r="D30" s="398"/>
      <c r="E30" s="398"/>
      <c r="F30" s="398"/>
      <c r="G30" s="398"/>
      <c r="H30" s="398"/>
      <c r="I30" s="398"/>
      <c r="J30" s="398"/>
      <c r="K30" s="398"/>
      <c r="L30" s="398"/>
      <c r="M30" s="398"/>
      <c r="N30" s="398"/>
    </row>
    <row r="31" spans="1:14">
      <c r="A31" s="398"/>
      <c r="B31" s="398"/>
      <c r="C31" s="398"/>
      <c r="D31" s="398"/>
      <c r="E31" s="398"/>
      <c r="F31" s="398"/>
      <c r="G31" s="398"/>
      <c r="H31" s="398"/>
      <c r="I31" s="398"/>
      <c r="J31" s="398"/>
      <c r="K31" s="398"/>
      <c r="L31" s="398"/>
      <c r="M31" s="398"/>
      <c r="N31" s="398"/>
    </row>
    <row r="32" spans="1:14">
      <c r="A32" s="398"/>
      <c r="B32" s="398"/>
      <c r="C32" s="398"/>
      <c r="D32" s="398"/>
      <c r="E32" s="398"/>
      <c r="F32" s="398"/>
      <c r="G32" s="398"/>
      <c r="H32" s="398"/>
      <c r="I32" s="398"/>
      <c r="J32" s="398"/>
      <c r="K32" s="398"/>
      <c r="L32" s="398"/>
      <c r="M32" s="398"/>
      <c r="N32" s="398"/>
    </row>
    <row r="33" spans="1:14">
      <c r="A33" s="398"/>
      <c r="B33" s="398"/>
      <c r="C33" s="398"/>
      <c r="D33" s="398"/>
      <c r="E33" s="398"/>
      <c r="F33" s="398"/>
      <c r="G33" s="398"/>
      <c r="H33" s="398"/>
      <c r="I33" s="398"/>
      <c r="J33" s="398"/>
      <c r="K33" s="398"/>
      <c r="L33" s="398"/>
      <c r="M33" s="398"/>
      <c r="N33" s="398"/>
    </row>
    <row r="34" spans="1:14">
      <c r="A34" s="398"/>
      <c r="B34" s="398"/>
      <c r="C34" s="398"/>
      <c r="D34" s="398"/>
      <c r="E34" s="398"/>
      <c r="F34" s="398"/>
      <c r="G34" s="398"/>
      <c r="H34" s="398"/>
      <c r="I34" s="398"/>
      <c r="J34" s="398"/>
      <c r="K34" s="398"/>
      <c r="L34" s="398"/>
      <c r="M34" s="398"/>
      <c r="N34" s="398"/>
    </row>
    <row r="35" spans="1:14">
      <c r="A35" s="398"/>
      <c r="B35" s="398"/>
      <c r="C35" s="398"/>
      <c r="D35" s="398"/>
      <c r="E35" s="398"/>
      <c r="F35" s="398"/>
      <c r="G35" s="398"/>
      <c r="H35" s="398"/>
      <c r="I35" s="398"/>
      <c r="J35" s="398"/>
      <c r="K35" s="398"/>
      <c r="L35" s="398"/>
      <c r="M35" s="398"/>
      <c r="N35" s="398"/>
    </row>
    <row r="36" spans="1:14">
      <c r="A36" s="398"/>
      <c r="B36" s="398"/>
      <c r="C36" s="398"/>
      <c r="D36" s="398"/>
      <c r="E36" s="398"/>
      <c r="F36" s="398"/>
      <c r="G36" s="398"/>
      <c r="H36" s="398"/>
      <c r="I36" s="398"/>
      <c r="J36" s="398"/>
      <c r="K36" s="398"/>
      <c r="L36" s="398"/>
      <c r="M36" s="398"/>
      <c r="N36" s="398"/>
    </row>
    <row r="37" spans="1:14">
      <c r="A37" s="398"/>
      <c r="B37" s="398"/>
      <c r="C37" s="398"/>
      <c r="D37" s="398"/>
      <c r="E37" s="398"/>
      <c r="F37" s="398"/>
      <c r="G37" s="398"/>
      <c r="H37" s="398"/>
      <c r="I37" s="398"/>
      <c r="J37" s="398"/>
      <c r="K37" s="398"/>
      <c r="L37" s="398"/>
      <c r="M37" s="398"/>
      <c r="N37" s="398"/>
    </row>
    <row r="38" spans="1:14">
      <c r="A38" s="398"/>
      <c r="B38" s="398"/>
      <c r="C38" s="398"/>
      <c r="D38" s="398"/>
      <c r="E38" s="398"/>
      <c r="F38" s="398"/>
      <c r="G38" s="398"/>
      <c r="H38" s="398"/>
      <c r="I38" s="398"/>
      <c r="J38" s="398"/>
      <c r="K38" s="398"/>
      <c r="L38" s="398"/>
      <c r="M38" s="398"/>
      <c r="N38" s="398"/>
    </row>
    <row r="39" spans="1:14">
      <c r="A39" s="398"/>
      <c r="B39" s="398"/>
      <c r="C39" s="398"/>
      <c r="D39" s="398"/>
      <c r="E39" s="398"/>
      <c r="F39" s="398"/>
      <c r="G39" s="398"/>
      <c r="H39" s="398"/>
      <c r="I39" s="398"/>
      <c r="J39" s="398"/>
      <c r="K39" s="398"/>
      <c r="L39" s="398"/>
      <c r="M39" s="398"/>
      <c r="N39" s="398"/>
    </row>
    <row r="40" spans="1:14">
      <c r="A40" s="398"/>
      <c r="B40" s="398"/>
      <c r="C40" s="398"/>
      <c r="D40" s="398"/>
      <c r="E40" s="398"/>
      <c r="F40" s="398"/>
      <c r="G40" s="398"/>
      <c r="H40" s="398"/>
      <c r="I40" s="398"/>
      <c r="J40" s="398"/>
      <c r="K40" s="398"/>
      <c r="L40" s="398"/>
      <c r="M40" s="398"/>
      <c r="N40" s="398"/>
    </row>
    <row r="41" spans="1:14">
      <c r="A41" s="398"/>
      <c r="B41" s="398"/>
      <c r="C41" s="398"/>
      <c r="D41" s="398"/>
      <c r="E41" s="398"/>
      <c r="F41" s="398"/>
      <c r="G41" s="398"/>
      <c r="H41" s="398"/>
      <c r="I41" s="398"/>
      <c r="J41" s="398"/>
      <c r="K41" s="398"/>
      <c r="L41" s="398"/>
      <c r="M41" s="398"/>
      <c r="N41" s="398"/>
    </row>
    <row r="42" spans="1:14">
      <c r="A42" s="398"/>
      <c r="B42" s="398"/>
      <c r="C42" s="398"/>
      <c r="D42" s="398"/>
      <c r="E42" s="398"/>
      <c r="F42" s="398"/>
      <c r="G42" s="398"/>
      <c r="H42" s="398"/>
      <c r="I42" s="398"/>
      <c r="J42" s="398"/>
      <c r="K42" s="398"/>
      <c r="L42" s="398"/>
      <c r="M42" s="398"/>
      <c r="N42" s="398"/>
    </row>
    <row r="43" spans="1:14">
      <c r="A43" s="398"/>
      <c r="B43" s="398"/>
      <c r="C43" s="398"/>
      <c r="D43" s="398"/>
      <c r="E43" s="398"/>
      <c r="F43" s="398"/>
      <c r="G43" s="398"/>
      <c r="H43" s="398"/>
      <c r="I43" s="398"/>
      <c r="J43" s="398"/>
      <c r="K43" s="398"/>
      <c r="L43" s="398"/>
      <c r="M43" s="398"/>
      <c r="N43" s="398"/>
    </row>
    <row r="44" spans="1:14">
      <c r="A44" s="398"/>
      <c r="B44" s="398"/>
      <c r="C44" s="398"/>
      <c r="D44" s="398"/>
      <c r="E44" s="398"/>
      <c r="F44" s="398"/>
      <c r="G44" s="398"/>
      <c r="H44" s="398"/>
      <c r="I44" s="398"/>
      <c r="J44" s="398"/>
      <c r="K44" s="398"/>
      <c r="L44" s="398"/>
      <c r="M44" s="398"/>
      <c r="N44" s="398"/>
    </row>
    <row r="45" spans="1:14">
      <c r="A45" s="398"/>
      <c r="B45" s="398"/>
      <c r="C45" s="398"/>
      <c r="D45" s="398"/>
      <c r="E45" s="398"/>
      <c r="F45" s="398"/>
      <c r="G45" s="398"/>
      <c r="H45" s="398"/>
      <c r="I45" s="398"/>
      <c r="J45" s="398"/>
      <c r="K45" s="398"/>
      <c r="L45" s="398"/>
      <c r="M45" s="398"/>
      <c r="N45" s="398"/>
    </row>
    <row r="46" spans="1:14">
      <c r="A46" s="398"/>
      <c r="B46" s="398"/>
      <c r="C46" s="398"/>
      <c r="D46" s="398"/>
      <c r="E46" s="398"/>
      <c r="F46" s="398"/>
      <c r="G46" s="398"/>
      <c r="H46" s="398"/>
      <c r="I46" s="398"/>
      <c r="J46" s="398"/>
      <c r="K46" s="398"/>
      <c r="L46" s="398"/>
      <c r="M46" s="398"/>
      <c r="N46" s="398"/>
    </row>
    <row r="47" spans="1:14">
      <c r="A47" s="398"/>
      <c r="B47" s="398"/>
      <c r="C47" s="398"/>
      <c r="D47" s="398"/>
      <c r="E47" s="398"/>
      <c r="F47" s="398"/>
      <c r="G47" s="398"/>
      <c r="H47" s="398"/>
      <c r="I47" s="398"/>
      <c r="J47" s="398"/>
      <c r="K47" s="398"/>
      <c r="L47" s="398"/>
      <c r="M47" s="398"/>
      <c r="N47" s="398"/>
    </row>
    <row r="48" spans="1:14" ht="22.5">
      <c r="A48" s="398"/>
      <c r="B48" s="3" t="s">
        <v>447</v>
      </c>
      <c r="C48" s="398"/>
      <c r="D48" s="398"/>
      <c r="E48" s="398"/>
      <c r="F48" s="398"/>
      <c r="G48" s="271"/>
      <c r="H48" s="398"/>
      <c r="I48" s="398"/>
      <c r="J48" s="398"/>
      <c r="K48" s="218"/>
      <c r="L48" s="398"/>
      <c r="M48" s="398"/>
      <c r="N48" s="398"/>
    </row>
    <row r="49" spans="1:14" ht="15">
      <c r="A49" s="398"/>
      <c r="B49" s="398"/>
      <c r="C49" s="6" t="s">
        <v>448</v>
      </c>
      <c r="D49" s="398"/>
      <c r="E49" s="398"/>
      <c r="F49" s="398"/>
      <c r="G49" s="271"/>
      <c r="H49" s="398"/>
      <c r="I49" s="398"/>
      <c r="J49" s="398"/>
      <c r="K49" s="398"/>
      <c r="L49" s="398"/>
      <c r="M49" s="398"/>
      <c r="N49" s="398"/>
    </row>
    <row r="50" spans="1:14" ht="15">
      <c r="A50" s="398"/>
      <c r="B50" s="398"/>
      <c r="C50" s="219"/>
      <c r="D50" s="220" t="s">
        <v>449</v>
      </c>
      <c r="E50" s="398"/>
      <c r="F50" s="398"/>
      <c r="G50" s="271"/>
      <c r="H50" s="398"/>
      <c r="I50" s="398"/>
      <c r="J50" s="398"/>
      <c r="K50" s="398"/>
      <c r="L50" s="398"/>
      <c r="M50" s="398"/>
      <c r="N50" s="398"/>
    </row>
    <row r="51" spans="1:14" ht="27" thickBot="1">
      <c r="A51" s="398"/>
      <c r="B51" s="398"/>
      <c r="C51" s="219"/>
      <c r="D51" s="398"/>
      <c r="E51" s="691" t="s">
        <v>450</v>
      </c>
      <c r="F51" s="691" t="s">
        <v>451</v>
      </c>
      <c r="G51" s="686" t="s">
        <v>452</v>
      </c>
      <c r="H51" s="690" t="str">
        <f>$G$6</f>
        <v>Project Total</v>
      </c>
      <c r="I51" s="841" t="s">
        <v>246</v>
      </c>
      <c r="J51" s="783"/>
      <c r="K51" s="398"/>
      <c r="L51" s="398"/>
      <c r="M51" s="398"/>
      <c r="N51" s="398"/>
    </row>
    <row r="52" spans="1:14">
      <c r="A52" s="398"/>
      <c r="B52" s="398"/>
      <c r="C52" s="398"/>
      <c r="D52" s="495" t="s">
        <v>453</v>
      </c>
      <c r="E52" s="496">
        <f>Test!$E$72*0.25</f>
        <v>6.2500000000000003E-3</v>
      </c>
      <c r="F52" s="574">
        <f>ExchangeRate*100</f>
        <v>100</v>
      </c>
      <c r="G52" s="575">
        <f>F52*0.2</f>
        <v>20</v>
      </c>
      <c r="H52" s="576">
        <f t="shared" ref="H52:H57" si="7">(F52+G52*ProjectTtlMultBen)*E52*PCs</f>
        <v>4093.8869412375175</v>
      </c>
      <c r="I52" s="842"/>
      <c r="J52" s="843"/>
      <c r="K52" s="398"/>
      <c r="L52" s="398" t="s">
        <v>453</v>
      </c>
      <c r="M52" s="398"/>
      <c r="N52" s="398"/>
    </row>
    <row r="53" spans="1:14" s="25" customFormat="1">
      <c r="A53" s="398"/>
      <c r="B53" s="398"/>
      <c r="C53" s="398"/>
      <c r="D53" s="497" t="s">
        <v>453</v>
      </c>
      <c r="E53" s="498">
        <f>Test!$E$72*0.15</f>
        <v>3.7499999999999999E-3</v>
      </c>
      <c r="F53" s="577">
        <f>ExchangeRate*200</f>
        <v>200</v>
      </c>
      <c r="G53" s="549">
        <f>F53*0.2</f>
        <v>40</v>
      </c>
      <c r="H53" s="576">
        <f t="shared" si="7"/>
        <v>4912.664329485021</v>
      </c>
      <c r="I53" s="844"/>
      <c r="J53" s="843"/>
      <c r="K53" s="398"/>
      <c r="L53" s="398" t="s">
        <v>453</v>
      </c>
      <c r="M53" s="398"/>
      <c r="N53" s="398"/>
    </row>
    <row r="54" spans="1:14">
      <c r="A54" s="398"/>
      <c r="B54" s="398"/>
      <c r="C54" s="398"/>
      <c r="D54" s="497" t="s">
        <v>454</v>
      </c>
      <c r="E54" s="498">
        <f>Test!$E$72*0.5</f>
        <v>1.2500000000000001E-2</v>
      </c>
      <c r="F54" s="577">
        <f>ExchangeRate*10</f>
        <v>10</v>
      </c>
      <c r="G54" s="549">
        <f>ExchangeRate*0</f>
        <v>0</v>
      </c>
      <c r="H54" s="576">
        <f t="shared" si="7"/>
        <v>409.38869412375175</v>
      </c>
      <c r="I54" s="844"/>
      <c r="J54" s="843"/>
      <c r="K54" s="398"/>
      <c r="L54" s="398" t="s">
        <v>454</v>
      </c>
      <c r="M54" s="398"/>
      <c r="N54" s="398"/>
    </row>
    <row r="55" spans="1:14">
      <c r="A55" s="398"/>
      <c r="B55" s="398"/>
      <c r="C55" s="398"/>
      <c r="D55" s="497" t="s">
        <v>455</v>
      </c>
      <c r="E55" s="498">
        <f>Test!$E$72*0.3</f>
        <v>7.4999999999999997E-3</v>
      </c>
      <c r="F55" s="577">
        <v>0</v>
      </c>
      <c r="G55" s="549">
        <f>ExchangeRate*20</f>
        <v>20</v>
      </c>
      <c r="H55" s="576">
        <f t="shared" si="7"/>
        <v>2456.3321647425105</v>
      </c>
      <c r="I55" s="844"/>
      <c r="J55" s="843"/>
      <c r="K55" s="398"/>
      <c r="L55" s="398" t="s">
        <v>455</v>
      </c>
      <c r="M55" s="398"/>
      <c r="N55" s="398"/>
    </row>
    <row r="56" spans="1:14">
      <c r="A56" s="398"/>
      <c r="B56" s="398"/>
      <c r="C56" s="398"/>
      <c r="D56" s="497" t="s">
        <v>252</v>
      </c>
      <c r="E56" s="498">
        <f>Test!$E$72*0.2</f>
        <v>5.000000000000001E-3</v>
      </c>
      <c r="F56" s="577">
        <f>ExchangeRate*0</f>
        <v>0</v>
      </c>
      <c r="G56" s="549">
        <f>ExchangeRate*20</f>
        <v>20</v>
      </c>
      <c r="H56" s="576">
        <f t="shared" si="7"/>
        <v>1637.5547764950074</v>
      </c>
      <c r="I56" s="844"/>
      <c r="J56" s="843"/>
      <c r="K56" s="398"/>
      <c r="L56" s="398" t="s">
        <v>252</v>
      </c>
      <c r="M56" s="398"/>
      <c r="N56" s="398"/>
    </row>
    <row r="57" spans="1:14" ht="13.5" thickBot="1">
      <c r="A57" s="398"/>
      <c r="B57" s="398"/>
      <c r="C57" s="398"/>
      <c r="D57" s="499" t="s">
        <v>252</v>
      </c>
      <c r="E57" s="500">
        <f>Test!$E$72*1</f>
        <v>2.5000000000000001E-2</v>
      </c>
      <c r="F57" s="578">
        <f>ExchangeRate*0</f>
        <v>0</v>
      </c>
      <c r="G57" s="579">
        <f>ExchangeRate*20</f>
        <v>20</v>
      </c>
      <c r="H57" s="576">
        <f t="shared" si="7"/>
        <v>8187.773882475035</v>
      </c>
      <c r="I57" s="845"/>
      <c r="J57" s="843"/>
      <c r="K57" s="580"/>
      <c r="L57" s="398" t="s">
        <v>252</v>
      </c>
      <c r="M57" s="398"/>
      <c r="N57" s="398"/>
    </row>
    <row r="58" spans="1:14" ht="13.5" thickTop="1">
      <c r="A58" s="398"/>
      <c r="B58" s="398"/>
      <c r="C58" s="398"/>
      <c r="D58" s="215" t="str">
        <f>$D$13</f>
        <v>Total</v>
      </c>
      <c r="E58" s="398"/>
      <c r="F58" s="558">
        <f>SUMPRODUCT($E52:$E57,F52:F57)*PCs</f>
        <v>4912.664329485021</v>
      </c>
      <c r="G58" s="558">
        <f>SUMPRODUCT($E52:$E57,G52:G57)*PCs</f>
        <v>3356.9872918147639</v>
      </c>
      <c r="H58" s="550">
        <f>SUM(H52:H57)</f>
        <v>21697.600788558844</v>
      </c>
      <c r="I58" s="398"/>
      <c r="J58" s="398"/>
      <c r="K58" s="398"/>
      <c r="L58" s="398"/>
      <c r="M58" s="398"/>
      <c r="N58" s="398"/>
    </row>
    <row r="59" spans="1:14" s="21" customFormat="1">
      <c r="A59" s="398"/>
      <c r="B59" s="398"/>
      <c r="C59" s="398"/>
      <c r="D59" s="398"/>
      <c r="E59" s="398"/>
      <c r="F59" s="398"/>
      <c r="G59" s="398"/>
      <c r="H59" s="398"/>
      <c r="I59" s="398"/>
      <c r="J59" s="398"/>
      <c r="K59" s="398"/>
      <c r="L59" s="398"/>
      <c r="M59" s="398"/>
      <c r="N59" s="398"/>
    </row>
    <row r="60" spans="1:14" s="21" customFormat="1" ht="15">
      <c r="A60" s="398"/>
      <c r="B60" s="398"/>
      <c r="C60" s="6" t="s">
        <v>456</v>
      </c>
      <c r="D60" s="398"/>
      <c r="E60" s="398"/>
      <c r="F60" s="398"/>
      <c r="G60" s="271"/>
      <c r="H60" s="398"/>
      <c r="I60" s="398"/>
      <c r="J60" s="398"/>
      <c r="K60" s="398"/>
      <c r="L60" s="398"/>
      <c r="M60" s="398"/>
      <c r="N60" s="398"/>
    </row>
    <row r="61" spans="1:14" s="21" customFormat="1" ht="15">
      <c r="A61" s="398"/>
      <c r="B61" s="398"/>
      <c r="C61" s="219"/>
      <c r="D61" s="220" t="s">
        <v>449</v>
      </c>
      <c r="E61" s="398"/>
      <c r="F61" s="398"/>
      <c r="G61" s="271"/>
      <c r="H61" s="398"/>
      <c r="I61" s="398"/>
      <c r="J61" s="398"/>
      <c r="K61" s="398"/>
      <c r="L61" s="398"/>
      <c r="M61" s="398"/>
      <c r="N61" s="398"/>
    </row>
    <row r="62" spans="1:14" s="25" customFormat="1" ht="15.75" thickBot="1">
      <c r="A62" s="398"/>
      <c r="B62" s="398"/>
      <c r="C62" s="219"/>
      <c r="D62" s="220"/>
      <c r="E62" s="398"/>
      <c r="F62" s="398"/>
      <c r="G62" s="271"/>
      <c r="H62" s="398"/>
      <c r="I62" s="398"/>
      <c r="J62" s="398"/>
      <c r="K62" s="398"/>
      <c r="L62" s="398"/>
      <c r="M62" s="398"/>
      <c r="N62" s="398"/>
    </row>
    <row r="63" spans="1:14" s="25" customFormat="1" ht="26.25" thickBot="1">
      <c r="A63" s="398"/>
      <c r="B63" s="398"/>
      <c r="C63" s="219"/>
      <c r="D63" s="130" t="s">
        <v>457</v>
      </c>
      <c r="E63" s="501">
        <f>PCUsers/50</f>
        <v>55.043858033445616</v>
      </c>
      <c r="F63" s="398"/>
      <c r="G63" s="271"/>
      <c r="H63" s="398"/>
      <c r="I63" s="398"/>
      <c r="J63" s="398"/>
      <c r="K63" s="398"/>
      <c r="L63" s="398"/>
      <c r="M63" s="398"/>
      <c r="N63" s="398"/>
    </row>
    <row r="64" spans="1:14" s="25" customFormat="1" ht="15">
      <c r="A64" s="398"/>
      <c r="B64" s="398"/>
      <c r="C64" s="219"/>
      <c r="D64" s="220"/>
      <c r="E64" s="398"/>
      <c r="F64" s="398"/>
      <c r="G64" s="271"/>
      <c r="H64" s="398"/>
      <c r="I64" s="398"/>
      <c r="J64" s="398"/>
      <c r="K64" s="398"/>
      <c r="L64" s="398"/>
      <c r="M64" s="398"/>
      <c r="N64" s="398"/>
    </row>
    <row r="65" spans="1:14" s="21" customFormat="1" ht="27" thickBot="1">
      <c r="A65" s="398"/>
      <c r="B65" s="398"/>
      <c r="C65" s="219"/>
      <c r="D65" s="398"/>
      <c r="E65" s="691" t="s">
        <v>458</v>
      </c>
      <c r="F65" s="691" t="s">
        <v>451</v>
      </c>
      <c r="G65" s="686" t="s">
        <v>452</v>
      </c>
      <c r="H65" s="679" t="str">
        <f>$G$6</f>
        <v>Project Total</v>
      </c>
      <c r="I65" s="841" t="str">
        <f>$I$51</f>
        <v>Comments</v>
      </c>
      <c r="J65" s="835"/>
      <c r="K65" s="398"/>
      <c r="L65" s="398"/>
      <c r="M65" s="398"/>
      <c r="N65" s="398"/>
    </row>
    <row r="66" spans="1:14" s="21" customFormat="1">
      <c r="A66" s="398"/>
      <c r="B66" s="398"/>
      <c r="C66" s="398"/>
      <c r="D66" s="495" t="s">
        <v>459</v>
      </c>
      <c r="E66" s="448">
        <f>Test!$E$73*Servers*0.3</f>
        <v>1.2384868057525262</v>
      </c>
      <c r="F66" s="574">
        <f>ExchangeRate*6000</f>
        <v>6000</v>
      </c>
      <c r="G66" s="575">
        <f>F66*0.15</f>
        <v>900</v>
      </c>
      <c r="H66" s="576">
        <f>(F66+G66*ProjectTtlMultBen)*E66</f>
        <v>13004.111460401526</v>
      </c>
      <c r="I66" s="842"/>
      <c r="J66" s="843"/>
      <c r="K66" s="398"/>
      <c r="L66" s="398" t="s">
        <v>459</v>
      </c>
      <c r="M66" s="398"/>
      <c r="N66" s="398"/>
    </row>
    <row r="67" spans="1:14" s="21" customFormat="1">
      <c r="A67" s="398"/>
      <c r="B67" s="398"/>
      <c r="C67" s="398"/>
      <c r="D67" s="497" t="s">
        <v>460</v>
      </c>
      <c r="E67" s="451">
        <f>Test!$E$73*Servers*0.3</f>
        <v>1.2384868057525262</v>
      </c>
      <c r="F67" s="577">
        <f>ExchangeRate*200</f>
        <v>200</v>
      </c>
      <c r="G67" s="549">
        <f>F67*0.15</f>
        <v>30</v>
      </c>
      <c r="H67" s="576">
        <f>(F67+G67*ProjectTtlMultBen)*E67</f>
        <v>433.47038201338415</v>
      </c>
      <c r="I67" s="844"/>
      <c r="J67" s="843"/>
      <c r="K67" s="398"/>
      <c r="L67" s="398" t="s">
        <v>460</v>
      </c>
      <c r="M67" s="398"/>
      <c r="N67" s="398"/>
    </row>
    <row r="68" spans="1:14" s="21" customFormat="1">
      <c r="A68" s="398"/>
      <c r="B68" s="398"/>
      <c r="C68" s="398"/>
      <c r="D68" s="497" t="s">
        <v>275</v>
      </c>
      <c r="E68" s="451">
        <f>Test!$E$73*Servers*0.2</f>
        <v>0.82565787050168427</v>
      </c>
      <c r="F68" s="577">
        <f>ExchangeRate*200</f>
        <v>200</v>
      </c>
      <c r="G68" s="549">
        <f>F68*0.15</f>
        <v>30</v>
      </c>
      <c r="H68" s="576">
        <f>(F68+G68*ProjectTtlMultBen)*E68</f>
        <v>288.98025467558949</v>
      </c>
      <c r="I68" s="844"/>
      <c r="J68" s="843"/>
      <c r="K68" s="398"/>
      <c r="L68" s="398" t="s">
        <v>275</v>
      </c>
      <c r="M68" s="398"/>
      <c r="N68" s="398"/>
    </row>
    <row r="69" spans="1:14" s="21" customFormat="1">
      <c r="A69" s="398"/>
      <c r="B69" s="398"/>
      <c r="C69" s="398"/>
      <c r="D69" s="497" t="s">
        <v>455</v>
      </c>
      <c r="E69" s="451">
        <f>Test!$E$73*Servers*0.2</f>
        <v>0.82565787050168427</v>
      </c>
      <c r="F69" s="577">
        <f>ExchangeRate*200</f>
        <v>200</v>
      </c>
      <c r="G69" s="549">
        <f>F69*0.15</f>
        <v>30</v>
      </c>
      <c r="H69" s="576">
        <f>(F69+G69*ProjectTtlMultBen)*E69</f>
        <v>288.98025467558949</v>
      </c>
      <c r="I69" s="844"/>
      <c r="J69" s="843"/>
      <c r="K69" s="398"/>
      <c r="L69" s="398" t="s">
        <v>455</v>
      </c>
      <c r="M69" s="398"/>
      <c r="N69" s="398"/>
    </row>
    <row r="70" spans="1:14" s="21" customFormat="1" ht="13.5" thickBot="1">
      <c r="A70" s="398"/>
      <c r="B70" s="398"/>
      <c r="C70" s="398"/>
      <c r="D70" s="499" t="s">
        <v>252</v>
      </c>
      <c r="E70" s="455">
        <f>Test!$E$73*Servers*0.1</f>
        <v>0.41282893525084213</v>
      </c>
      <c r="F70" s="578">
        <f>ExchangeRate*500</f>
        <v>500</v>
      </c>
      <c r="G70" s="579">
        <f>F70*0.15</f>
        <v>75</v>
      </c>
      <c r="H70" s="576">
        <f>(F70+G70*ProjectTtlMultBen)*E70</f>
        <v>361.22531834448688</v>
      </c>
      <c r="I70" s="845"/>
      <c r="J70" s="843"/>
      <c r="K70" s="398"/>
      <c r="L70" s="398"/>
      <c r="M70" s="398"/>
      <c r="N70" s="398"/>
    </row>
    <row r="71" spans="1:14" s="21" customFormat="1" ht="13.5" thickTop="1">
      <c r="A71" s="398"/>
      <c r="B71" s="398"/>
      <c r="C71" s="398"/>
      <c r="D71" s="215" t="str">
        <f>$D$13</f>
        <v>Total</v>
      </c>
      <c r="E71" s="108"/>
      <c r="F71" s="558">
        <f>SUMPRODUCT($E66:$E70,F66:F70)</f>
        <v>8215.2958114917583</v>
      </c>
      <c r="G71" s="558">
        <f>SUMPRODUCT($E66:$E70,G66:G70)</f>
        <v>1232.2943717237638</v>
      </c>
      <c r="H71" s="550">
        <f>SUM(H66:H70)</f>
        <v>14376.767670110574</v>
      </c>
      <c r="I71" s="398"/>
      <c r="J71" s="398"/>
      <c r="K71" s="398"/>
      <c r="L71" s="398"/>
      <c r="M71" s="398"/>
      <c r="N71" s="398"/>
    </row>
    <row r="72" spans="1:14" s="21" customFormat="1">
      <c r="A72" s="398"/>
      <c r="B72" s="398"/>
      <c r="C72" s="398"/>
      <c r="D72" s="11"/>
      <c r="E72" s="398"/>
      <c r="F72" s="271"/>
      <c r="G72" s="398"/>
      <c r="H72" s="398"/>
      <c r="I72" s="398"/>
      <c r="J72" s="398"/>
      <c r="K72" s="398"/>
      <c r="L72" s="398"/>
      <c r="M72" s="398"/>
      <c r="N72" s="398"/>
    </row>
    <row r="73" spans="1:14" ht="15">
      <c r="A73" s="398"/>
      <c r="B73" s="398"/>
      <c r="C73" s="6" t="s">
        <v>461</v>
      </c>
      <c r="D73" s="11"/>
      <c r="E73" s="398"/>
      <c r="F73" s="53"/>
      <c r="G73" s="271"/>
      <c r="H73" s="398"/>
      <c r="I73" s="398"/>
      <c r="J73" s="398"/>
      <c r="K73" s="398"/>
      <c r="L73" s="398"/>
      <c r="M73" s="398"/>
      <c r="N73" s="398"/>
    </row>
    <row r="74" spans="1:14" s="21" customFormat="1" ht="26.25" thickBot="1">
      <c r="A74" s="398"/>
      <c r="B74" s="398"/>
      <c r="C74" s="398"/>
      <c r="D74" s="11"/>
      <c r="E74" s="686" t="str">
        <f>E$65</f>
        <v>Quantity</v>
      </c>
      <c r="F74" s="686" t="str">
        <f>F$65</f>
        <v>One-Time Costs Avoided</v>
      </c>
      <c r="G74" s="686" t="str">
        <f>G$65</f>
        <v>Annual Costs Avoided</v>
      </c>
      <c r="H74" s="671" t="str">
        <f>H$65</f>
        <v>Project Total</v>
      </c>
      <c r="I74" s="841" t="str">
        <f>$I$51</f>
        <v>Comments</v>
      </c>
      <c r="J74" s="835"/>
      <c r="K74" s="398"/>
      <c r="L74" s="398"/>
      <c r="M74" s="398"/>
      <c r="N74" s="398"/>
    </row>
    <row r="75" spans="1:14" s="21" customFormat="1" ht="25.5">
      <c r="A75" s="398"/>
      <c r="B75" s="398"/>
      <c r="C75" s="398"/>
      <c r="D75" s="495" t="s">
        <v>462</v>
      </c>
      <c r="E75" s="448">
        <f>Test!$E$73*Servers*0.2</f>
        <v>0.82565787050168427</v>
      </c>
      <c r="F75" s="574">
        <f>ExchangeRate*6000</f>
        <v>6000</v>
      </c>
      <c r="G75" s="575">
        <f>F75*0.15</f>
        <v>900</v>
      </c>
      <c r="H75" s="576">
        <f>(F75+G75*ProjectTtlMultBen)*E75</f>
        <v>8669.4076402676856</v>
      </c>
      <c r="I75" s="842"/>
      <c r="J75" s="843"/>
      <c r="K75" s="398"/>
      <c r="L75" s="398" t="s">
        <v>462</v>
      </c>
      <c r="M75" s="398"/>
      <c r="N75" s="398"/>
    </row>
    <row r="76" spans="1:14" s="21" customFormat="1">
      <c r="A76" s="398"/>
      <c r="B76" s="398"/>
      <c r="C76" s="398"/>
      <c r="D76" s="497" t="s">
        <v>463</v>
      </c>
      <c r="E76" s="451">
        <f>Test!$E$73*Servers*0.1</f>
        <v>0.41282893525084213</v>
      </c>
      <c r="F76" s="577">
        <f>F75</f>
        <v>6000</v>
      </c>
      <c r="G76" s="549">
        <f>F76*0.15</f>
        <v>900</v>
      </c>
      <c r="H76" s="576">
        <f>(F76+G76*ProjectTtlMultBen)*E76</f>
        <v>4334.7038201338428</v>
      </c>
      <c r="I76" s="844"/>
      <c r="J76" s="843"/>
      <c r="K76" s="398"/>
      <c r="L76" s="398" t="s">
        <v>463</v>
      </c>
      <c r="M76" s="398"/>
      <c r="N76" s="398"/>
    </row>
    <row r="77" spans="1:14" s="21" customFormat="1">
      <c r="A77" s="398"/>
      <c r="B77" s="398"/>
      <c r="C77" s="398"/>
      <c r="D77" s="497" t="s">
        <v>250</v>
      </c>
      <c r="E77" s="451"/>
      <c r="F77" s="577">
        <f>ExchangeRate*0</f>
        <v>0</v>
      </c>
      <c r="G77" s="549">
        <f>F77*0.15</f>
        <v>0</v>
      </c>
      <c r="H77" s="576">
        <f>(F77+G77*ProjectTtlMultBen)*E77</f>
        <v>0</v>
      </c>
      <c r="I77" s="844"/>
      <c r="J77" s="843"/>
      <c r="K77" s="398"/>
      <c r="L77" s="398" t="s">
        <v>250</v>
      </c>
      <c r="M77" s="398"/>
      <c r="N77" s="398"/>
    </row>
    <row r="78" spans="1:14" s="25" customFormat="1">
      <c r="A78" s="398"/>
      <c r="B78" s="398"/>
      <c r="C78" s="398"/>
      <c r="D78" s="497" t="s">
        <v>464</v>
      </c>
      <c r="E78" s="451"/>
      <c r="F78" s="577">
        <f>ExchangeRate*0</f>
        <v>0</v>
      </c>
      <c r="G78" s="549">
        <f>F78*0.15</f>
        <v>0</v>
      </c>
      <c r="H78" s="576">
        <f>(F78+G78*ProjectTtlMultBen)*E78</f>
        <v>0</v>
      </c>
      <c r="I78" s="844"/>
      <c r="J78" s="843"/>
      <c r="K78" s="398"/>
      <c r="L78" s="398" t="s">
        <v>464</v>
      </c>
      <c r="M78" s="398"/>
      <c r="N78" s="398"/>
    </row>
    <row r="79" spans="1:14" s="21" customFormat="1" ht="13.5" thickBot="1">
      <c r="A79" s="398"/>
      <c r="B79" s="398"/>
      <c r="C79" s="398"/>
      <c r="D79" s="499" t="s">
        <v>252</v>
      </c>
      <c r="E79" s="455"/>
      <c r="F79" s="578">
        <f>ExchangeRate*0</f>
        <v>0</v>
      </c>
      <c r="G79" s="579">
        <f>F79*0.15</f>
        <v>0</v>
      </c>
      <c r="H79" s="576">
        <f>(F79+G79*ProjectTtlMultBen)*E79</f>
        <v>0</v>
      </c>
      <c r="I79" s="845"/>
      <c r="J79" s="843"/>
      <c r="K79" s="398"/>
      <c r="L79" s="398"/>
      <c r="M79" s="398"/>
      <c r="N79" s="398"/>
    </row>
    <row r="80" spans="1:14" s="21" customFormat="1" ht="13.5" thickTop="1">
      <c r="A80" s="398"/>
      <c r="B80" s="398"/>
      <c r="C80" s="398"/>
      <c r="D80" s="215" t="str">
        <f>$D$13</f>
        <v>Total</v>
      </c>
      <c r="E80" s="398"/>
      <c r="F80" s="558">
        <f>SUMPRODUCT($E75:$E79,F75:F79)</f>
        <v>7430.9208345151583</v>
      </c>
      <c r="G80" s="558">
        <f>SUMPRODUCT($E75:$E79,G75:G79)</f>
        <v>1114.6381251772737</v>
      </c>
      <c r="H80" s="550">
        <f>SUM(H75:H79)</f>
        <v>13004.111460401527</v>
      </c>
      <c r="I80" s="398"/>
      <c r="J80" s="398"/>
      <c r="K80" s="398"/>
      <c r="L80" s="398"/>
      <c r="M80" s="398"/>
      <c r="N80" s="398"/>
    </row>
    <row r="81" spans="1:14" s="21" customFormat="1">
      <c r="A81" s="398"/>
      <c r="B81" s="398"/>
      <c r="C81" s="398"/>
      <c r="D81" s="11"/>
      <c r="E81" s="398"/>
      <c r="F81" s="53"/>
      <c r="G81" s="271"/>
      <c r="H81" s="398"/>
      <c r="I81" s="398"/>
      <c r="J81" s="398"/>
      <c r="K81" s="398"/>
      <c r="L81" s="398"/>
      <c r="M81" s="398"/>
      <c r="N81" s="398"/>
    </row>
    <row r="82" spans="1:14" s="21" customFormat="1" ht="15">
      <c r="A82" s="398"/>
      <c r="B82" s="398"/>
      <c r="C82" s="6" t="s">
        <v>465</v>
      </c>
      <c r="D82" s="11"/>
      <c r="E82" s="398"/>
      <c r="F82" s="53"/>
      <c r="G82" s="271"/>
      <c r="H82" s="398"/>
      <c r="I82" s="398"/>
      <c r="J82" s="398"/>
      <c r="K82" s="398"/>
      <c r="L82" s="398"/>
      <c r="M82" s="398"/>
      <c r="N82" s="398"/>
    </row>
    <row r="83" spans="1:14" s="21" customFormat="1" ht="26.25" thickBot="1">
      <c r="A83" s="398"/>
      <c r="B83" s="398"/>
      <c r="C83" s="398"/>
      <c r="D83" s="11"/>
      <c r="E83" s="686" t="str">
        <f>E$65</f>
        <v>Quantity</v>
      </c>
      <c r="F83" s="686" t="str">
        <f>F$65</f>
        <v>One-Time Costs Avoided</v>
      </c>
      <c r="G83" s="686" t="str">
        <f>G$65</f>
        <v>Annual Costs Avoided</v>
      </c>
      <c r="H83" s="671" t="str">
        <f>H$65</f>
        <v>Project Total</v>
      </c>
      <c r="I83" s="841" t="str">
        <f>$I$51</f>
        <v>Comments</v>
      </c>
      <c r="J83" s="835"/>
      <c r="K83" s="398"/>
      <c r="L83" s="398"/>
      <c r="M83" s="398"/>
      <c r="N83" s="398"/>
    </row>
    <row r="84" spans="1:14" s="21" customFormat="1">
      <c r="A84" s="398"/>
      <c r="B84" s="398"/>
      <c r="C84" s="398"/>
      <c r="D84" s="495" t="s">
        <v>466</v>
      </c>
      <c r="E84" s="448">
        <f>Test!$E$75*PCUsers/2500*200</f>
        <v>5.5043858033445607</v>
      </c>
      <c r="F84" s="574">
        <f>ExchangeRate*0</f>
        <v>0</v>
      </c>
      <c r="G84" s="575">
        <f>ExchangeRate*150</f>
        <v>150</v>
      </c>
      <c r="H84" s="576">
        <f>(F84+G84*ProjectTtlMultBen)*E84</f>
        <v>4128.289352508421</v>
      </c>
      <c r="I84" s="842"/>
      <c r="J84" s="843"/>
      <c r="K84" s="398"/>
      <c r="L84" s="398" t="s">
        <v>466</v>
      </c>
      <c r="M84" s="398"/>
      <c r="N84" s="398"/>
    </row>
    <row r="85" spans="1:14" s="21" customFormat="1">
      <c r="A85" s="398"/>
      <c r="B85" s="398"/>
      <c r="C85" s="398"/>
      <c r="D85" s="497" t="s">
        <v>467</v>
      </c>
      <c r="E85" s="451">
        <f>Test!$E$75*PCUsers/2500*200</f>
        <v>5.5043858033445607</v>
      </c>
      <c r="F85" s="577">
        <f>ExchangeRate*0</f>
        <v>0</v>
      </c>
      <c r="G85" s="549">
        <f>ExchangeRate*150</f>
        <v>150</v>
      </c>
      <c r="H85" s="576">
        <f>(F85+G85*ProjectTtlMultBen)*E85</f>
        <v>4128.289352508421</v>
      </c>
      <c r="I85" s="844"/>
      <c r="J85" s="843"/>
      <c r="K85" s="398"/>
      <c r="L85" s="398" t="s">
        <v>467</v>
      </c>
      <c r="M85" s="398"/>
      <c r="N85" s="398"/>
    </row>
    <row r="86" spans="1:14" s="25" customFormat="1">
      <c r="A86" s="398"/>
      <c r="B86" s="398"/>
      <c r="C86" s="398"/>
      <c r="D86" s="497" t="s">
        <v>252</v>
      </c>
      <c r="E86" s="451">
        <f>Test!$E$75*PCUsers/2500*0</f>
        <v>0</v>
      </c>
      <c r="F86" s="577">
        <f>ExchangeRate*0</f>
        <v>0</v>
      </c>
      <c r="G86" s="549">
        <f>ExchangeRate*0</f>
        <v>0</v>
      </c>
      <c r="H86" s="576">
        <f>(F86+G86*ProjectTtlMultBen)*E86</f>
        <v>0</v>
      </c>
      <c r="I86" s="844"/>
      <c r="J86" s="843"/>
      <c r="K86" s="398"/>
      <c r="L86" s="398"/>
      <c r="M86" s="398"/>
      <c r="N86" s="398"/>
    </row>
    <row r="87" spans="1:14" s="25" customFormat="1">
      <c r="A87" s="398"/>
      <c r="B87" s="398"/>
      <c r="C87" s="398"/>
      <c r="D87" s="497" t="s">
        <v>252</v>
      </c>
      <c r="E87" s="451">
        <f>Test!$E$75*PCUsers/2500*0</f>
        <v>0</v>
      </c>
      <c r="F87" s="577">
        <f>ExchangeRate*0</f>
        <v>0</v>
      </c>
      <c r="G87" s="549">
        <f>ExchangeRate*0</f>
        <v>0</v>
      </c>
      <c r="H87" s="576">
        <f>(F87+G87*ProjectTtlMultBen)*E87</f>
        <v>0</v>
      </c>
      <c r="I87" s="844"/>
      <c r="J87" s="843"/>
      <c r="K87" s="398"/>
      <c r="L87" s="398"/>
      <c r="M87" s="398"/>
      <c r="N87" s="398"/>
    </row>
    <row r="88" spans="1:14" s="21" customFormat="1" ht="13.5" thickBot="1">
      <c r="A88" s="398"/>
      <c r="B88" s="398"/>
      <c r="C88" s="398"/>
      <c r="D88" s="499" t="s">
        <v>252</v>
      </c>
      <c r="E88" s="455">
        <f>Test!$E$75*PCUsers/2500*0</f>
        <v>0</v>
      </c>
      <c r="F88" s="578">
        <f>ExchangeRate*0</f>
        <v>0</v>
      </c>
      <c r="G88" s="579">
        <f>ExchangeRate*0</f>
        <v>0</v>
      </c>
      <c r="H88" s="576">
        <f>(F88+G88*ProjectTtlMultBen)*E88</f>
        <v>0</v>
      </c>
      <c r="I88" s="845"/>
      <c r="J88" s="843"/>
      <c r="K88" s="398"/>
      <c r="L88" s="398"/>
      <c r="M88" s="398"/>
      <c r="N88" s="398"/>
    </row>
    <row r="89" spans="1:14" s="21" customFormat="1" ht="13.5" thickTop="1">
      <c r="A89" s="398"/>
      <c r="B89" s="398"/>
      <c r="C89" s="398"/>
      <c r="D89" s="215" t="str">
        <f>$D$13</f>
        <v>Total</v>
      </c>
      <c r="E89" s="398"/>
      <c r="F89" s="558">
        <f>SUMPRODUCT($E84:$E88,F84:F88)</f>
        <v>0</v>
      </c>
      <c r="G89" s="558">
        <f>SUMPRODUCT($E84:$E88,G84:G88)</f>
        <v>1651.3157410033682</v>
      </c>
      <c r="H89" s="550">
        <f>SUM(H84:H88)</f>
        <v>8256.5787050168419</v>
      </c>
      <c r="I89" s="398"/>
      <c r="J89" s="398"/>
      <c r="K89" s="398"/>
      <c r="L89" s="398"/>
      <c r="M89" s="398"/>
      <c r="N89" s="398"/>
    </row>
    <row r="90" spans="1:14" s="21" customFormat="1">
      <c r="A90" s="398"/>
      <c r="B90" s="398"/>
      <c r="C90" s="398"/>
      <c r="D90" s="11"/>
      <c r="E90" s="398"/>
      <c r="F90" s="53"/>
      <c r="G90" s="271"/>
      <c r="H90" s="398"/>
      <c r="I90" s="398"/>
      <c r="J90" s="398"/>
      <c r="K90" s="398"/>
      <c r="L90" s="398"/>
      <c r="M90" s="398"/>
      <c r="N90" s="398"/>
    </row>
    <row r="91" spans="1:14" ht="15">
      <c r="A91" s="398"/>
      <c r="B91" s="398"/>
      <c r="C91" s="6" t="s">
        <v>468</v>
      </c>
      <c r="D91" s="398"/>
      <c r="E91" s="398"/>
      <c r="F91" s="398"/>
      <c r="G91" s="271"/>
      <c r="H91" s="398"/>
      <c r="I91" s="398"/>
      <c r="J91" s="398"/>
      <c r="K91" s="398"/>
      <c r="L91" s="398"/>
      <c r="M91" s="398"/>
      <c r="N91" s="398"/>
    </row>
    <row r="92" spans="1:14" s="52" customFormat="1" ht="15">
      <c r="A92" s="398"/>
      <c r="B92" s="398"/>
      <c r="C92" s="6"/>
      <c r="D92" s="640" t="s">
        <v>469</v>
      </c>
      <c r="E92" s="398"/>
      <c r="F92" s="398"/>
      <c r="G92" s="271"/>
      <c r="H92" s="398"/>
      <c r="I92" s="398"/>
      <c r="J92" s="398"/>
      <c r="K92" s="398"/>
      <c r="L92" s="398"/>
      <c r="M92" s="398"/>
      <c r="N92" s="398"/>
    </row>
    <row r="93" spans="1:14" ht="16.5" thickBot="1">
      <c r="A93" s="398"/>
      <c r="B93" s="398"/>
      <c r="C93" s="221"/>
      <c r="D93" s="398"/>
      <c r="E93" s="691" t="s">
        <v>248</v>
      </c>
      <c r="F93" s="691" t="s">
        <v>255</v>
      </c>
      <c r="G93" s="671" t="s">
        <v>470</v>
      </c>
      <c r="H93" s="679" t="str">
        <f>$G$6</f>
        <v>Project Total</v>
      </c>
      <c r="I93" s="841" t="str">
        <f>$I$51</f>
        <v>Comments</v>
      </c>
      <c r="J93" s="835"/>
      <c r="K93" s="398"/>
      <c r="L93" s="398"/>
      <c r="M93" s="398"/>
      <c r="N93" s="398"/>
    </row>
    <row r="94" spans="1:14">
      <c r="A94" s="398"/>
      <c r="B94" s="398"/>
      <c r="C94" s="398"/>
      <c r="D94" s="303" t="s">
        <v>471</v>
      </c>
      <c r="E94" s="459">
        <v>140</v>
      </c>
      <c r="F94" s="502">
        <v>800</v>
      </c>
      <c r="G94" s="271"/>
      <c r="H94" s="398"/>
      <c r="I94" s="846"/>
      <c r="J94" s="843"/>
      <c r="K94" s="398"/>
      <c r="L94" s="398"/>
      <c r="M94" s="398"/>
      <c r="N94" s="398"/>
    </row>
    <row r="95" spans="1:14" ht="26.25" thickBot="1">
      <c r="A95" s="398"/>
      <c r="B95" s="398"/>
      <c r="C95" s="398"/>
      <c r="D95" s="304" t="s">
        <v>472</v>
      </c>
      <c r="E95" s="669">
        <v>60</v>
      </c>
      <c r="F95" s="503">
        <v>10</v>
      </c>
      <c r="G95" s="271"/>
      <c r="H95" s="398"/>
      <c r="I95" s="847"/>
      <c r="J95" s="843"/>
      <c r="K95" s="398"/>
      <c r="L95" s="398"/>
      <c r="M95" s="398"/>
      <c r="N95" s="398"/>
    </row>
    <row r="96" spans="1:14">
      <c r="A96" s="398"/>
      <c r="B96" s="398"/>
      <c r="C96" s="398"/>
      <c r="D96" s="305" t="s">
        <v>259</v>
      </c>
      <c r="E96" s="212">
        <f>SUM(E94:E95)</f>
        <v>200</v>
      </c>
      <c r="F96" s="138">
        <f>SUM(F94:F95)</f>
        <v>810</v>
      </c>
      <c r="G96" s="271"/>
      <c r="H96" s="398"/>
      <c r="I96" s="847"/>
      <c r="J96" s="843"/>
      <c r="K96" s="398"/>
      <c r="L96" s="398"/>
      <c r="M96" s="398"/>
      <c r="N96" s="398"/>
    </row>
    <row r="97" spans="1:14" ht="13.5" thickBot="1">
      <c r="A97" s="398"/>
      <c r="B97" s="398"/>
      <c r="C97" s="398"/>
      <c r="D97" s="305" t="s">
        <v>473</v>
      </c>
      <c r="E97" s="213">
        <f>E94*24/1000</f>
        <v>3.36</v>
      </c>
      <c r="F97" s="158">
        <f>F94*24/1000</f>
        <v>19.2</v>
      </c>
      <c r="G97" s="271"/>
      <c r="H97" s="398"/>
      <c r="I97" s="847"/>
      <c r="J97" s="843"/>
      <c r="K97" s="398"/>
      <c r="L97" s="398"/>
      <c r="M97" s="398"/>
      <c r="N97" s="398"/>
    </row>
    <row r="98" spans="1:14" ht="13.5" thickBot="1">
      <c r="A98" s="398"/>
      <c r="B98" s="398"/>
      <c r="C98" s="398"/>
      <c r="D98" s="304" t="s">
        <v>474</v>
      </c>
      <c r="E98" s="581">
        <f>ExchangeRate*0.09</f>
        <v>0.09</v>
      </c>
      <c r="F98" s="582">
        <f>E98</f>
        <v>0.09</v>
      </c>
      <c r="G98" s="271"/>
      <c r="H98" s="398"/>
      <c r="I98" s="847"/>
      <c r="J98" s="843"/>
      <c r="K98" s="398"/>
      <c r="L98" s="398"/>
      <c r="M98" s="398"/>
      <c r="N98" s="398"/>
    </row>
    <row r="99" spans="1:14" ht="13.5" thickBot="1">
      <c r="A99" s="398"/>
      <c r="B99" s="398"/>
      <c r="C99" s="398"/>
      <c r="D99" s="305" t="s">
        <v>475</v>
      </c>
      <c r="E99" s="562">
        <f>E98*E97*365</f>
        <v>110.376</v>
      </c>
      <c r="F99" s="583">
        <f>F98*F97*365</f>
        <v>630.72</v>
      </c>
      <c r="G99" s="271"/>
      <c r="H99" s="398"/>
      <c r="I99" s="847"/>
      <c r="J99" s="843"/>
      <c r="K99" s="398"/>
      <c r="L99" s="398"/>
      <c r="M99" s="398"/>
      <c r="N99" s="398"/>
    </row>
    <row r="100" spans="1:14" s="21" customFormat="1" ht="13.5" thickBot="1">
      <c r="A100" s="398"/>
      <c r="B100" s="398"/>
      <c r="C100" s="398"/>
      <c r="D100" s="305" t="s">
        <v>476</v>
      </c>
      <c r="E100" s="214">
        <f>PCs</f>
        <v>3275.109552990014</v>
      </c>
      <c r="F100" s="504">
        <f>Servers</f>
        <v>55.043858033445616</v>
      </c>
      <c r="G100" s="271"/>
      <c r="H100" s="398"/>
      <c r="I100" s="847"/>
      <c r="J100" s="843"/>
      <c r="K100" s="398"/>
      <c r="L100" s="398"/>
      <c r="M100" s="398"/>
      <c r="N100" s="398"/>
    </row>
    <row r="101" spans="1:14" ht="25.5">
      <c r="A101" s="398"/>
      <c r="B101" s="398"/>
      <c r="C101" s="398"/>
      <c r="D101" s="304" t="s">
        <v>477</v>
      </c>
      <c r="E101" s="673">
        <v>0.5</v>
      </c>
      <c r="F101" s="477">
        <v>1</v>
      </c>
      <c r="G101" s="271"/>
      <c r="H101" s="398"/>
      <c r="I101" s="847"/>
      <c r="J101" s="843"/>
      <c r="K101" s="398"/>
      <c r="L101" s="398"/>
      <c r="M101" s="398"/>
      <c r="N101" s="398"/>
    </row>
    <row r="102" spans="1:14" ht="38.25">
      <c r="A102" s="398"/>
      <c r="B102" s="398"/>
      <c r="C102" s="398"/>
      <c r="D102" s="304" t="s">
        <v>478</v>
      </c>
      <c r="E102" s="505">
        <v>14</v>
      </c>
      <c r="F102" s="506">
        <v>24</v>
      </c>
      <c r="G102" s="271"/>
      <c r="H102" s="398"/>
      <c r="I102" s="847"/>
      <c r="J102" s="843"/>
      <c r="K102" s="398"/>
      <c r="L102" s="398"/>
      <c r="M102" s="398"/>
      <c r="N102" s="398"/>
    </row>
    <row r="103" spans="1:14" s="19" customFormat="1" ht="26.25" thickBot="1">
      <c r="A103" s="398"/>
      <c r="B103" s="398"/>
      <c r="C103" s="398"/>
      <c r="D103" s="303" t="s">
        <v>479</v>
      </c>
      <c r="E103" s="668">
        <f>Test!$E$76*0.1</f>
        <v>2.5000000000000001E-2</v>
      </c>
      <c r="F103" s="478">
        <f>Test!$E$76*0.2</f>
        <v>0.05</v>
      </c>
      <c r="G103" s="271"/>
      <c r="H103" s="398"/>
      <c r="I103" s="848"/>
      <c r="J103" s="843"/>
      <c r="K103" s="398"/>
      <c r="L103" s="398"/>
      <c r="M103" s="398"/>
      <c r="N103" s="398"/>
    </row>
    <row r="104" spans="1:14" ht="13.5" thickBot="1">
      <c r="A104" s="398"/>
      <c r="B104" s="398"/>
      <c r="C104" s="398"/>
      <c r="D104" s="305" t="s">
        <v>480</v>
      </c>
      <c r="E104" s="557">
        <f>E99*E101*E102/24*E103</f>
        <v>0.80482500000000012</v>
      </c>
      <c r="F104" s="558">
        <f>F99*F101*F102/24*F103</f>
        <v>31.536000000000001</v>
      </c>
      <c r="G104" s="398"/>
      <c r="H104" s="398"/>
      <c r="I104" s="398"/>
      <c r="J104" s="398"/>
      <c r="K104" s="398"/>
      <c r="L104" s="398"/>
      <c r="M104" s="398"/>
      <c r="N104" s="398"/>
    </row>
    <row r="105" spans="1:14" s="21" customFormat="1" ht="13.5" thickTop="1">
      <c r="A105" s="398"/>
      <c r="B105" s="398"/>
      <c r="C105" s="398"/>
      <c r="D105" s="306" t="s">
        <v>259</v>
      </c>
      <c r="E105" s="560">
        <f>E104*PCs</f>
        <v>2635.8900459851884</v>
      </c>
      <c r="F105" s="550">
        <f>F104*F100</f>
        <v>1735.8631069427411</v>
      </c>
      <c r="G105" s="550">
        <f>F105+E105</f>
        <v>4371.7531529279295</v>
      </c>
      <c r="H105" s="550">
        <f>G105*ProjectTtlMultBen</f>
        <v>21858.765764639647</v>
      </c>
      <c r="I105" s="398"/>
      <c r="J105" s="398"/>
      <c r="K105" s="398"/>
      <c r="L105" s="398"/>
      <c r="M105" s="398"/>
      <c r="N105" s="398"/>
    </row>
    <row r="106" spans="1:14" s="21" customFormat="1">
      <c r="A106" s="398"/>
      <c r="B106" s="398"/>
      <c r="C106" s="398"/>
      <c r="D106" s="11"/>
      <c r="E106" s="398"/>
      <c r="F106" s="53"/>
      <c r="G106" s="271"/>
      <c r="H106" s="398"/>
      <c r="I106" s="398"/>
      <c r="J106" s="398"/>
      <c r="K106" s="398"/>
      <c r="L106" s="398"/>
      <c r="M106" s="398"/>
      <c r="N106" s="398"/>
    </row>
    <row r="107" spans="1:14" s="21" customFormat="1" ht="15">
      <c r="A107" s="398"/>
      <c r="B107" s="398"/>
      <c r="C107" s="6" t="s">
        <v>481</v>
      </c>
      <c r="D107" s="11"/>
      <c r="E107" s="398"/>
      <c r="F107" s="53"/>
      <c r="G107" s="271"/>
      <c r="H107" s="398"/>
      <c r="I107" s="398"/>
      <c r="J107" s="398"/>
      <c r="K107" s="398"/>
      <c r="L107" s="398"/>
      <c r="M107" s="398"/>
      <c r="N107" s="398"/>
    </row>
    <row r="108" spans="1:14" s="21" customFormat="1" ht="26.25" thickBot="1">
      <c r="A108" s="398"/>
      <c r="B108" s="398"/>
      <c r="C108" s="398"/>
      <c r="D108" s="398"/>
      <c r="E108" s="686" t="str">
        <f>E$65</f>
        <v>Quantity</v>
      </c>
      <c r="F108" s="686" t="str">
        <f>F$65</f>
        <v>One-Time Costs Avoided</v>
      </c>
      <c r="G108" s="686" t="str">
        <f>G$65</f>
        <v>Annual Costs Avoided</v>
      </c>
      <c r="H108" s="671" t="str">
        <f>H$65</f>
        <v>Project Total</v>
      </c>
      <c r="I108" s="841" t="str">
        <f>$I$51</f>
        <v>Comments</v>
      </c>
      <c r="J108" s="835"/>
      <c r="K108" s="398"/>
      <c r="L108" s="398"/>
      <c r="M108" s="398"/>
      <c r="N108" s="398"/>
    </row>
    <row r="109" spans="1:14" s="21" customFormat="1">
      <c r="A109" s="398"/>
      <c r="B109" s="398"/>
      <c r="C109" s="398"/>
      <c r="D109" s="495" t="s">
        <v>482</v>
      </c>
      <c r="E109" s="448">
        <f>Test!$E$77*PCUsers/100</f>
        <v>6.880482254180702</v>
      </c>
      <c r="F109" s="574">
        <f>ExchangeRate*0</f>
        <v>0</v>
      </c>
      <c r="G109" s="575">
        <f>ExchangeRate*150</f>
        <v>150</v>
      </c>
      <c r="H109" s="576">
        <f>(F109+G109*ProjectTtlMultBen)*E109</f>
        <v>5160.3616906355264</v>
      </c>
      <c r="I109" s="842"/>
      <c r="J109" s="843"/>
      <c r="K109" s="398"/>
      <c r="L109" s="398" t="s">
        <v>482</v>
      </c>
      <c r="M109" s="398"/>
      <c r="N109" s="398"/>
    </row>
    <row r="110" spans="1:14" s="21" customFormat="1">
      <c r="A110" s="398"/>
      <c r="B110" s="398"/>
      <c r="C110" s="398"/>
      <c r="D110" s="497" t="s">
        <v>483</v>
      </c>
      <c r="E110" s="451">
        <f>Test!$E$77*Servers/10</f>
        <v>1.3760964508361404</v>
      </c>
      <c r="F110" s="577">
        <f>ExchangeRate*0</f>
        <v>0</v>
      </c>
      <c r="G110" s="549">
        <f>ExchangeRate*100*12</f>
        <v>1200</v>
      </c>
      <c r="H110" s="576">
        <f>(F110+G110*ProjectTtlMultBen)*E110</f>
        <v>8256.5787050168419</v>
      </c>
      <c r="I110" s="844"/>
      <c r="J110" s="843"/>
      <c r="K110" s="398"/>
      <c r="L110" s="398" t="s">
        <v>483</v>
      </c>
      <c r="M110" s="398"/>
      <c r="N110" s="398"/>
    </row>
    <row r="111" spans="1:14" s="21" customFormat="1">
      <c r="A111" s="398"/>
      <c r="B111" s="398"/>
      <c r="C111" s="398"/>
      <c r="D111" s="497" t="s">
        <v>484</v>
      </c>
      <c r="E111" s="451">
        <f>Test!$E$77*PCUsers/100</f>
        <v>6.880482254180702</v>
      </c>
      <c r="F111" s="577">
        <f>ExchangeRate*0</f>
        <v>0</v>
      </c>
      <c r="G111" s="549">
        <f>ExchangeRate*0</f>
        <v>0</v>
      </c>
      <c r="H111" s="576">
        <f>(F111+G111*ProjectTtlMultBen)*E111</f>
        <v>0</v>
      </c>
      <c r="I111" s="844"/>
      <c r="J111" s="843"/>
      <c r="K111" s="398"/>
      <c r="L111" s="398" t="s">
        <v>484</v>
      </c>
      <c r="M111" s="398"/>
      <c r="N111" s="398"/>
    </row>
    <row r="112" spans="1:14" s="21" customFormat="1" ht="13.5" thickBot="1">
      <c r="A112" s="398"/>
      <c r="B112" s="398"/>
      <c r="C112" s="398"/>
      <c r="D112" s="499" t="s">
        <v>252</v>
      </c>
      <c r="E112" s="455">
        <f>Test!$E$77*PCUsers/100</f>
        <v>6.880482254180702</v>
      </c>
      <c r="F112" s="578">
        <f>ExchangeRate*0</f>
        <v>0</v>
      </c>
      <c r="G112" s="579">
        <f>ExchangeRate*0</f>
        <v>0</v>
      </c>
      <c r="H112" s="576">
        <f>(F112+G112*ProjectTtlMultBen)*E112</f>
        <v>0</v>
      </c>
      <c r="I112" s="845"/>
      <c r="J112" s="843"/>
      <c r="K112" s="398"/>
      <c r="L112" s="398"/>
      <c r="M112" s="398"/>
      <c r="N112" s="398"/>
    </row>
    <row r="113" spans="1:14" s="21" customFormat="1" ht="13.5" thickTop="1">
      <c r="A113" s="398"/>
      <c r="B113" s="398"/>
      <c r="C113" s="398"/>
      <c r="D113" s="215" t="str">
        <f>$D$13</f>
        <v>Total</v>
      </c>
      <c r="E113" s="398"/>
      <c r="F113" s="558">
        <f>SUMPRODUCT($E109:$E112,F109:F112)</f>
        <v>0</v>
      </c>
      <c r="G113" s="558">
        <f>SUMPRODUCT($E109:$E112,G109:G112)</f>
        <v>2683.3880791304737</v>
      </c>
      <c r="H113" s="550">
        <f>SUM(H109:H112)</f>
        <v>13416.940395652367</v>
      </c>
      <c r="I113" s="398"/>
      <c r="J113" s="398"/>
      <c r="K113" s="398"/>
      <c r="L113" s="398"/>
      <c r="M113" s="398"/>
      <c r="N113" s="398"/>
    </row>
    <row r="114" spans="1:14" s="21" customFormat="1">
      <c r="A114" s="398"/>
      <c r="B114" s="398"/>
      <c r="C114" s="398"/>
      <c r="D114" s="11"/>
      <c r="E114" s="398"/>
      <c r="F114" s="53"/>
      <c r="G114" s="271"/>
      <c r="H114" s="398"/>
      <c r="I114" s="398"/>
      <c r="J114" s="398"/>
      <c r="K114" s="398"/>
      <c r="L114" s="398"/>
      <c r="M114" s="398"/>
      <c r="N114" s="398"/>
    </row>
    <row r="115" spans="1:14" s="21" customFormat="1" ht="22.5">
      <c r="A115" s="398"/>
      <c r="B115" s="3" t="s">
        <v>485</v>
      </c>
      <c r="C115" s="398"/>
      <c r="D115" s="11"/>
      <c r="E115" s="398"/>
      <c r="F115" s="53"/>
      <c r="G115" s="271"/>
      <c r="H115" s="398"/>
      <c r="I115" s="398"/>
      <c r="J115" s="398"/>
      <c r="K115" s="398"/>
      <c r="L115" s="398"/>
      <c r="M115" s="398"/>
      <c r="N115" s="398"/>
    </row>
    <row r="116" spans="1:14" s="21" customFormat="1" ht="15">
      <c r="A116" s="398"/>
      <c r="B116" s="398"/>
      <c r="C116" s="6" t="s">
        <v>486</v>
      </c>
      <c r="D116" s="11"/>
      <c r="E116" s="398"/>
      <c r="F116" s="53"/>
      <c r="G116" s="398"/>
      <c r="H116" s="398"/>
      <c r="I116" s="398"/>
      <c r="J116" s="398"/>
      <c r="K116" s="398"/>
      <c r="L116" s="398"/>
      <c r="M116" s="398"/>
      <c r="N116" s="398"/>
    </row>
    <row r="117" spans="1:14" s="52" customFormat="1" ht="27" customHeight="1" thickBot="1">
      <c r="A117" s="216"/>
      <c r="B117" s="216"/>
      <c r="C117" s="764" t="s">
        <v>487</v>
      </c>
      <c r="D117" s="764"/>
      <c r="E117" s="764"/>
      <c r="F117" s="764"/>
      <c r="G117" s="764"/>
      <c r="H117" s="764"/>
      <c r="I117" s="764"/>
      <c r="J117" s="764"/>
      <c r="K117" s="398"/>
      <c r="L117" s="398"/>
      <c r="M117" s="398"/>
      <c r="N117" s="398"/>
    </row>
    <row r="118" spans="1:14" s="21" customFormat="1" ht="38.25">
      <c r="A118" s="398"/>
      <c r="B118" s="398"/>
      <c r="C118" s="398"/>
      <c r="D118" s="304" t="s">
        <v>488</v>
      </c>
      <c r="E118" s="507">
        <f>IWs*0.2</f>
        <v>244.71287108114763</v>
      </c>
      <c r="F118" s="53"/>
      <c r="G118" s="398"/>
      <c r="H118" s="398"/>
      <c r="I118" s="847"/>
      <c r="J118" s="843"/>
      <c r="K118" s="398"/>
      <c r="L118" s="398"/>
      <c r="M118" s="398"/>
      <c r="N118" s="398"/>
    </row>
    <row r="119" spans="1:14" s="21" customFormat="1" ht="25.5">
      <c r="A119" s="398"/>
      <c r="B119" s="398"/>
      <c r="C119" s="398"/>
      <c r="D119" s="304" t="s">
        <v>489</v>
      </c>
      <c r="E119" s="471">
        <v>5</v>
      </c>
      <c r="F119" s="53"/>
      <c r="G119" s="398"/>
      <c r="H119" s="398"/>
      <c r="I119" s="847"/>
      <c r="J119" s="843"/>
      <c r="K119" s="398"/>
      <c r="L119" s="398"/>
      <c r="M119" s="398"/>
      <c r="N119" s="398"/>
    </row>
    <row r="120" spans="1:14" s="21" customFormat="1" ht="26.25" thickBot="1">
      <c r="A120" s="398"/>
      <c r="B120" s="398"/>
      <c r="C120" s="398"/>
      <c r="D120" s="304" t="s">
        <v>490</v>
      </c>
      <c r="E120" s="488">
        <f>Test!$E$80*0.15</f>
        <v>0</v>
      </c>
      <c r="F120" s="53"/>
      <c r="G120" s="398"/>
      <c r="H120" s="398"/>
      <c r="I120" s="847"/>
      <c r="J120" s="843"/>
      <c r="K120" s="398"/>
      <c r="L120" s="398"/>
      <c r="M120" s="398"/>
      <c r="N120" s="398"/>
    </row>
    <row r="121" spans="1:14" s="21" customFormat="1" ht="13.5" thickBot="1">
      <c r="A121" s="398"/>
      <c r="B121" s="398"/>
      <c r="C121" s="398"/>
      <c r="D121" s="305" t="s">
        <v>491</v>
      </c>
      <c r="E121" s="201">
        <f>E118*E119*E120</f>
        <v>0</v>
      </c>
      <c r="F121" s="53"/>
      <c r="G121" s="398"/>
      <c r="H121" s="398"/>
      <c r="I121" s="847"/>
      <c r="J121" s="843"/>
      <c r="K121" s="398"/>
      <c r="L121" s="398"/>
      <c r="M121" s="398"/>
      <c r="N121" s="398"/>
    </row>
    <row r="122" spans="1:14" s="21" customFormat="1" ht="13.5" thickBot="1">
      <c r="A122" s="398"/>
      <c r="B122" s="398"/>
      <c r="C122" s="398"/>
      <c r="D122" s="304" t="s">
        <v>492</v>
      </c>
      <c r="E122" s="584">
        <f>ExchangeRate*1100</f>
        <v>1100</v>
      </c>
      <c r="F122" s="53"/>
      <c r="G122" s="398"/>
      <c r="H122" s="398"/>
      <c r="I122" s="848"/>
      <c r="J122" s="843"/>
      <c r="K122" s="398"/>
      <c r="L122" s="398"/>
      <c r="M122" s="398"/>
      <c r="N122" s="398"/>
    </row>
    <row r="123" spans="1:14" s="21" customFormat="1" ht="13.5" thickBot="1">
      <c r="A123" s="398"/>
      <c r="B123" s="398"/>
      <c r="C123" s="398"/>
      <c r="D123" s="305" t="s">
        <v>493</v>
      </c>
      <c r="E123" s="585">
        <f>E122*E121</f>
        <v>0</v>
      </c>
      <c r="F123" s="53"/>
      <c r="G123" s="398"/>
      <c r="H123" s="398"/>
      <c r="I123" s="398"/>
      <c r="J123" s="398"/>
      <c r="K123" s="398"/>
      <c r="L123" s="398"/>
      <c r="M123" s="398"/>
      <c r="N123" s="398"/>
    </row>
    <row r="124" spans="1:14" s="25" customFormat="1" ht="13.5" thickTop="1">
      <c r="A124" s="398"/>
      <c r="B124" s="398"/>
      <c r="C124" s="398"/>
      <c r="D124" s="306" t="s">
        <v>494</v>
      </c>
      <c r="E124" s="540">
        <f>E123*ProjectTtlMultBen</f>
        <v>0</v>
      </c>
      <c r="F124" s="53"/>
      <c r="G124" s="398"/>
      <c r="H124" s="398"/>
      <c r="I124" s="398"/>
      <c r="J124" s="398"/>
      <c r="K124" s="398"/>
      <c r="L124" s="398"/>
      <c r="M124" s="398"/>
      <c r="N124" s="398"/>
    </row>
    <row r="125" spans="1:14" s="21" customFormat="1">
      <c r="A125" s="398"/>
      <c r="B125" s="398"/>
      <c r="C125" s="398"/>
      <c r="D125" s="11"/>
      <c r="E125" s="398"/>
      <c r="F125" s="53"/>
      <c r="G125" s="398"/>
      <c r="H125" s="398"/>
      <c r="I125" s="398"/>
      <c r="J125" s="398"/>
      <c r="K125" s="398"/>
      <c r="L125" s="398"/>
      <c r="M125" s="398"/>
      <c r="N125" s="398"/>
    </row>
    <row r="126" spans="1:14" s="21" customFormat="1" ht="15">
      <c r="A126" s="398"/>
      <c r="B126" s="398"/>
      <c r="C126" s="6" t="s">
        <v>495</v>
      </c>
      <c r="D126" s="11"/>
      <c r="E126" s="398"/>
      <c r="F126" s="53"/>
      <c r="G126" s="398"/>
      <c r="H126" s="398"/>
      <c r="I126" s="398"/>
      <c r="J126" s="398"/>
      <c r="K126" s="398"/>
      <c r="L126" s="398"/>
      <c r="M126" s="398"/>
      <c r="N126" s="398"/>
    </row>
    <row r="127" spans="1:14" s="21" customFormat="1" ht="26.25" thickBot="1">
      <c r="A127" s="398"/>
      <c r="B127" s="398"/>
      <c r="C127" s="398"/>
      <c r="D127" s="11"/>
      <c r="E127" s="686" t="str">
        <f>E$65</f>
        <v>Quantity</v>
      </c>
      <c r="F127" s="686" t="str">
        <f>F$65</f>
        <v>One-Time Costs Avoided</v>
      </c>
      <c r="G127" s="686" t="str">
        <f>G$65</f>
        <v>Annual Costs Avoided</v>
      </c>
      <c r="H127" s="671" t="str">
        <f>H$65</f>
        <v>Project Total</v>
      </c>
      <c r="I127" s="841" t="str">
        <f>$I$51</f>
        <v>Comments</v>
      </c>
      <c r="J127" s="835"/>
      <c r="K127" s="398"/>
      <c r="L127" s="398"/>
      <c r="M127" s="398"/>
      <c r="N127" s="398"/>
    </row>
    <row r="128" spans="1:14" s="21" customFormat="1">
      <c r="A128" s="398"/>
      <c r="B128" s="398"/>
      <c r="C128" s="398"/>
      <c r="D128" s="495" t="s">
        <v>466</v>
      </c>
      <c r="E128" s="448">
        <f>Test!$E$81*PCUsers/2500*200</f>
        <v>0</v>
      </c>
      <c r="F128" s="574">
        <f>ExchangeRate*0</f>
        <v>0</v>
      </c>
      <c r="G128" s="575">
        <f>ExchangeRate*150</f>
        <v>150</v>
      </c>
      <c r="H128" s="576">
        <f>(F128+G128*ProjectTtlMultBen)*E128</f>
        <v>0</v>
      </c>
      <c r="I128" s="842"/>
      <c r="J128" s="843"/>
      <c r="K128" s="398"/>
      <c r="L128" s="398" t="s">
        <v>466</v>
      </c>
      <c r="M128" s="398"/>
      <c r="N128" s="398"/>
    </row>
    <row r="129" spans="1:14" s="21" customFormat="1">
      <c r="A129" s="398"/>
      <c r="B129" s="398"/>
      <c r="C129" s="398"/>
      <c r="D129" s="497" t="s">
        <v>192</v>
      </c>
      <c r="E129" s="451">
        <f>Test!$E$81*PCUsers/2500*200</f>
        <v>0</v>
      </c>
      <c r="F129" s="577">
        <f>ExchangeRate*0</f>
        <v>0</v>
      </c>
      <c r="G129" s="549">
        <f>ExchangeRate*150</f>
        <v>150</v>
      </c>
      <c r="H129" s="576">
        <f>(F129+G129*ProjectTtlMultBen)*E129</f>
        <v>0</v>
      </c>
      <c r="I129" s="844"/>
      <c r="J129" s="843"/>
      <c r="K129" s="398"/>
      <c r="L129" s="398" t="s">
        <v>192</v>
      </c>
      <c r="M129" s="398"/>
      <c r="N129" s="398"/>
    </row>
    <row r="130" spans="1:14" s="25" customFormat="1">
      <c r="A130" s="398"/>
      <c r="B130" s="398"/>
      <c r="C130" s="398"/>
      <c r="D130" s="497" t="s">
        <v>252</v>
      </c>
      <c r="E130" s="451">
        <f>Test!$E$75*PCUsers/2500*0</f>
        <v>0</v>
      </c>
      <c r="F130" s="577">
        <f>ExchangeRate*0</f>
        <v>0</v>
      </c>
      <c r="G130" s="549">
        <f>ExchangeRate*0</f>
        <v>0</v>
      </c>
      <c r="H130" s="576">
        <f>(F130+G130*ProjectTtlMultBen)*E130</f>
        <v>0</v>
      </c>
      <c r="I130" s="844"/>
      <c r="J130" s="843"/>
      <c r="K130" s="398"/>
      <c r="L130" s="398"/>
      <c r="M130" s="398"/>
      <c r="N130" s="398"/>
    </row>
    <row r="131" spans="1:14" s="21" customFormat="1" ht="13.5" thickBot="1">
      <c r="A131" s="398"/>
      <c r="B131" s="398"/>
      <c r="C131" s="398"/>
      <c r="D131" s="499" t="s">
        <v>252</v>
      </c>
      <c r="E131" s="455">
        <f>Test!$E$75*PCUsers/2500*0</f>
        <v>0</v>
      </c>
      <c r="F131" s="578">
        <f>ExchangeRate*0</f>
        <v>0</v>
      </c>
      <c r="G131" s="579">
        <f>ExchangeRate*0</f>
        <v>0</v>
      </c>
      <c r="H131" s="576">
        <f>(F131+G131*ProjectTtlMultBen)*E131</f>
        <v>0</v>
      </c>
      <c r="I131" s="845"/>
      <c r="J131" s="843"/>
      <c r="K131" s="398"/>
      <c r="L131" s="398"/>
      <c r="M131" s="398"/>
      <c r="N131" s="398"/>
    </row>
    <row r="132" spans="1:14" s="21" customFormat="1" ht="13.5" thickTop="1">
      <c r="A132" s="398"/>
      <c r="B132" s="398"/>
      <c r="C132" s="398"/>
      <c r="D132" s="215" t="str">
        <f>$D$13</f>
        <v>Total</v>
      </c>
      <c r="E132" s="398"/>
      <c r="F132" s="558">
        <f>SUMPRODUCT($E128:$E131,F128:F131)</f>
        <v>0</v>
      </c>
      <c r="G132" s="558">
        <f>SUMPRODUCT($E128:$E131,G128:G131)</f>
        <v>0</v>
      </c>
      <c r="H132" s="550">
        <f>SUM(H128:H131)</f>
        <v>0</v>
      </c>
      <c r="I132" s="398"/>
      <c r="J132" s="398"/>
      <c r="K132" s="398"/>
      <c r="L132" s="398"/>
      <c r="M132" s="398"/>
      <c r="N132" s="398"/>
    </row>
    <row r="133" spans="1:14" s="21" customFormat="1">
      <c r="A133" s="398"/>
      <c r="B133" s="398"/>
      <c r="C133" s="398"/>
      <c r="D133" s="11"/>
      <c r="E133" s="398"/>
      <c r="F133" s="53"/>
      <c r="G133" s="398"/>
      <c r="H133" s="398"/>
      <c r="I133" s="398"/>
      <c r="J133" s="398"/>
      <c r="K133" s="398"/>
      <c r="L133" s="398"/>
      <c r="M133" s="398"/>
      <c r="N133" s="398"/>
    </row>
    <row r="134" spans="1:14" s="21" customFormat="1" ht="15">
      <c r="A134" s="398"/>
      <c r="B134" s="398"/>
      <c r="C134" s="6" t="s">
        <v>496</v>
      </c>
      <c r="D134" s="11"/>
      <c r="E134" s="398"/>
      <c r="F134" s="53"/>
      <c r="G134" s="398"/>
      <c r="H134" s="398"/>
      <c r="I134" s="398"/>
      <c r="J134" s="398"/>
      <c r="K134" s="398"/>
      <c r="L134" s="398"/>
      <c r="M134" s="398"/>
      <c r="N134" s="398"/>
    </row>
    <row r="135" spans="1:14" s="21" customFormat="1" ht="26.25" thickBot="1">
      <c r="A135" s="398"/>
      <c r="B135" s="398"/>
      <c r="C135" s="398"/>
      <c r="D135" s="398"/>
      <c r="E135" s="686" t="str">
        <f>E$65</f>
        <v>Quantity</v>
      </c>
      <c r="F135" s="686" t="str">
        <f>F$65</f>
        <v>One-Time Costs Avoided</v>
      </c>
      <c r="G135" s="686" t="str">
        <f>G$65</f>
        <v>Annual Costs Avoided</v>
      </c>
      <c r="H135" s="671" t="str">
        <f>H$65</f>
        <v>Project Total</v>
      </c>
      <c r="I135" s="841" t="str">
        <f>$I$51</f>
        <v>Comments</v>
      </c>
      <c r="J135" s="835"/>
      <c r="K135" s="398"/>
      <c r="L135" s="398"/>
      <c r="M135" s="398"/>
      <c r="N135" s="398"/>
    </row>
    <row r="136" spans="1:14" s="21" customFormat="1">
      <c r="A136" s="398"/>
      <c r="B136" s="398"/>
      <c r="C136" s="398"/>
      <c r="D136" s="495" t="s">
        <v>497</v>
      </c>
      <c r="E136" s="448">
        <f>Test!$E$82*PCUsers</f>
        <v>0</v>
      </c>
      <c r="F136" s="574">
        <f t="shared" ref="F136:F143" si="8">ExchangeRate*0</f>
        <v>0</v>
      </c>
      <c r="G136" s="575">
        <f>ExchangeRate*70</f>
        <v>70</v>
      </c>
      <c r="H136" s="576">
        <f t="shared" ref="H136:H143" si="9">(F136+G136*ProjectTtlMultBen)*E136</f>
        <v>0</v>
      </c>
      <c r="I136" s="842"/>
      <c r="J136" s="843"/>
      <c r="K136" s="398"/>
      <c r="L136" s="398" t="s">
        <v>497</v>
      </c>
      <c r="M136" s="398"/>
      <c r="N136" s="398"/>
    </row>
    <row r="137" spans="1:14" s="21" customFormat="1">
      <c r="A137" s="398"/>
      <c r="B137" s="398"/>
      <c r="C137" s="398"/>
      <c r="D137" s="497" t="s">
        <v>498</v>
      </c>
      <c r="E137" s="451">
        <f>Test!$E$82*PCUsers</f>
        <v>0</v>
      </c>
      <c r="F137" s="577">
        <f t="shared" si="8"/>
        <v>0</v>
      </c>
      <c r="G137" s="549">
        <f>ExchangeRate*90</f>
        <v>90</v>
      </c>
      <c r="H137" s="576">
        <f t="shared" si="9"/>
        <v>0</v>
      </c>
      <c r="I137" s="844"/>
      <c r="J137" s="843"/>
      <c r="K137" s="398"/>
      <c r="L137" s="398" t="s">
        <v>498</v>
      </c>
      <c r="M137" s="398"/>
      <c r="N137" s="398"/>
    </row>
    <row r="138" spans="1:14" s="32" customFormat="1">
      <c r="A138" s="398"/>
      <c r="B138" s="398"/>
      <c r="C138" s="398"/>
      <c r="D138" s="497" t="s">
        <v>499</v>
      </c>
      <c r="E138" s="451">
        <f>Test!$E$82*PCUsers</f>
        <v>0</v>
      </c>
      <c r="F138" s="577">
        <f t="shared" si="8"/>
        <v>0</v>
      </c>
      <c r="G138" s="549">
        <f>ExchangeRate*30</f>
        <v>30</v>
      </c>
      <c r="H138" s="576">
        <f t="shared" si="9"/>
        <v>0</v>
      </c>
      <c r="I138" s="844"/>
      <c r="J138" s="843"/>
      <c r="K138" s="398"/>
      <c r="L138" s="398" t="s">
        <v>499</v>
      </c>
      <c r="M138" s="398"/>
      <c r="N138" s="398"/>
    </row>
    <row r="139" spans="1:14" s="21" customFormat="1">
      <c r="A139" s="398"/>
      <c r="B139" s="398"/>
      <c r="C139" s="398"/>
      <c r="D139" s="497" t="s">
        <v>500</v>
      </c>
      <c r="E139" s="451">
        <f>Test!$E$82*PCUsers</f>
        <v>0</v>
      </c>
      <c r="F139" s="577">
        <f t="shared" si="8"/>
        <v>0</v>
      </c>
      <c r="G139" s="549">
        <f>ExchangeRate*60</f>
        <v>60</v>
      </c>
      <c r="H139" s="576">
        <f t="shared" si="9"/>
        <v>0</v>
      </c>
      <c r="I139" s="844"/>
      <c r="J139" s="843"/>
      <c r="K139" s="398"/>
      <c r="L139" s="398" t="s">
        <v>500</v>
      </c>
      <c r="M139" s="398"/>
      <c r="N139" s="398"/>
    </row>
    <row r="140" spans="1:14" s="32" customFormat="1">
      <c r="A140" s="398"/>
      <c r="B140" s="398"/>
      <c r="C140" s="398"/>
      <c r="D140" s="497" t="s">
        <v>252</v>
      </c>
      <c r="E140" s="451">
        <f>Test!$E$82*PCUsers</f>
        <v>0</v>
      </c>
      <c r="F140" s="577">
        <f t="shared" si="8"/>
        <v>0</v>
      </c>
      <c r="G140" s="549">
        <f>ExchangeRate*60</f>
        <v>60</v>
      </c>
      <c r="H140" s="576">
        <f t="shared" si="9"/>
        <v>0</v>
      </c>
      <c r="I140" s="844"/>
      <c r="J140" s="843"/>
      <c r="K140" s="398"/>
      <c r="L140" s="398"/>
      <c r="M140" s="398"/>
      <c r="N140" s="398"/>
    </row>
    <row r="141" spans="1:14" s="32" customFormat="1">
      <c r="A141" s="398"/>
      <c r="B141" s="398"/>
      <c r="C141" s="398"/>
      <c r="D141" s="497" t="s">
        <v>252</v>
      </c>
      <c r="E141" s="451">
        <f>Test!$E$82*PCUsers</f>
        <v>0</v>
      </c>
      <c r="F141" s="577">
        <f t="shared" si="8"/>
        <v>0</v>
      </c>
      <c r="G141" s="549">
        <f>ExchangeRate*0</f>
        <v>0</v>
      </c>
      <c r="H141" s="576">
        <f t="shared" si="9"/>
        <v>0</v>
      </c>
      <c r="I141" s="844"/>
      <c r="J141" s="843"/>
      <c r="K141" s="398"/>
      <c r="L141" s="398"/>
      <c r="M141" s="398"/>
      <c r="N141" s="398"/>
    </row>
    <row r="142" spans="1:14" s="32" customFormat="1">
      <c r="A142" s="398"/>
      <c r="B142" s="398"/>
      <c r="C142" s="398"/>
      <c r="D142" s="497" t="s">
        <v>252</v>
      </c>
      <c r="E142" s="451">
        <f>Test!$E$82*PCUsers</f>
        <v>0</v>
      </c>
      <c r="F142" s="577">
        <f t="shared" si="8"/>
        <v>0</v>
      </c>
      <c r="G142" s="549">
        <f>ExchangeRate*0</f>
        <v>0</v>
      </c>
      <c r="H142" s="576">
        <f t="shared" si="9"/>
        <v>0</v>
      </c>
      <c r="I142" s="844"/>
      <c r="J142" s="843"/>
      <c r="K142" s="398"/>
      <c r="L142" s="398"/>
      <c r="M142" s="398"/>
      <c r="N142" s="398"/>
    </row>
    <row r="143" spans="1:14" s="21" customFormat="1" ht="13.5" thickBot="1">
      <c r="A143" s="398"/>
      <c r="B143" s="398"/>
      <c r="C143" s="398"/>
      <c r="D143" s="499" t="s">
        <v>252</v>
      </c>
      <c r="E143" s="455">
        <f>Test!$E$82*PCUsers</f>
        <v>0</v>
      </c>
      <c r="F143" s="578">
        <f t="shared" si="8"/>
        <v>0</v>
      </c>
      <c r="G143" s="579">
        <f>ExchangeRate*0</f>
        <v>0</v>
      </c>
      <c r="H143" s="576">
        <f t="shared" si="9"/>
        <v>0</v>
      </c>
      <c r="I143" s="845"/>
      <c r="J143" s="843"/>
      <c r="K143" s="398"/>
      <c r="L143" s="398"/>
      <c r="M143" s="398"/>
      <c r="N143" s="398"/>
    </row>
    <row r="144" spans="1:14" s="21" customFormat="1" ht="13.5" thickTop="1">
      <c r="A144" s="398"/>
      <c r="B144" s="398"/>
      <c r="C144" s="398"/>
      <c r="D144" s="215" t="str">
        <f>$D$13</f>
        <v>Total</v>
      </c>
      <c r="E144" s="398"/>
      <c r="F144" s="558">
        <f>SUMPRODUCT($E136:$E143,F136:F143)</f>
        <v>0</v>
      </c>
      <c r="G144" s="558">
        <f>SUMPRODUCT($E136:$E143,G136:G143)</f>
        <v>0</v>
      </c>
      <c r="H144" s="550">
        <f>SUM(H136:H143)</f>
        <v>0</v>
      </c>
      <c r="I144" s="398"/>
      <c r="J144" s="398"/>
      <c r="K144" s="398"/>
      <c r="L144" s="398"/>
      <c r="M144" s="398"/>
      <c r="N144" s="398"/>
    </row>
    <row r="145" spans="1:14" s="21" customFormat="1">
      <c r="A145" s="398"/>
      <c r="B145" s="398"/>
      <c r="C145" s="398"/>
      <c r="D145" s="11"/>
      <c r="E145" s="398"/>
      <c r="F145" s="53"/>
      <c r="G145" s="398"/>
      <c r="H145" s="398"/>
      <c r="I145" s="398"/>
      <c r="J145" s="398"/>
      <c r="K145" s="398"/>
      <c r="L145" s="398"/>
      <c r="M145" s="398"/>
      <c r="N145" s="398"/>
    </row>
    <row r="146" spans="1:14">
      <c r="A146" s="398"/>
      <c r="B146" s="398"/>
      <c r="C146" s="398"/>
      <c r="D146" s="398"/>
      <c r="E146" s="398"/>
      <c r="F146" s="398"/>
      <c r="G146" s="398"/>
      <c r="H146" s="398"/>
      <c r="I146" s="398"/>
      <c r="J146" s="398"/>
      <c r="K146" s="398"/>
      <c r="L146" s="398"/>
      <c r="M146" s="398"/>
      <c r="N146" s="398"/>
    </row>
    <row r="147" spans="1:14">
      <c r="A147" s="398"/>
      <c r="B147" s="750" t="str">
        <f>CopyRight</f>
        <v>©AnalysisPlace.  www.analysisplace.com</v>
      </c>
      <c r="C147" s="750"/>
      <c r="D147" s="750"/>
      <c r="E147" s="750"/>
      <c r="F147" s="750"/>
      <c r="G147" s="750"/>
      <c r="H147" s="398"/>
      <c r="I147" s="398"/>
      <c r="J147" s="398"/>
      <c r="K147" s="398"/>
      <c r="L147" s="398"/>
      <c r="M147" s="398"/>
      <c r="N147" s="398"/>
    </row>
    <row r="148" spans="1:14">
      <c r="A148" s="100" t="s">
        <v>164</v>
      </c>
      <c r="B148" s="398"/>
      <c r="C148" s="398"/>
      <c r="D148" s="398"/>
      <c r="E148" s="398"/>
      <c r="F148" s="398"/>
      <c r="G148" s="398"/>
      <c r="H148" s="398"/>
      <c r="I148" s="398"/>
      <c r="J148" s="398"/>
      <c r="K148" s="398"/>
      <c r="L148" s="398"/>
      <c r="M148" s="398"/>
      <c r="N148" s="398"/>
    </row>
  </sheetData>
  <sheetProtection selectLockedCells="1"/>
  <mergeCells count="65">
    <mergeCell ref="I95:J95"/>
    <mergeCell ref="I96:J96"/>
    <mergeCell ref="I97:J97"/>
    <mergeCell ref="I84:J84"/>
    <mergeCell ref="I85:J85"/>
    <mergeCell ref="I86:J86"/>
    <mergeCell ref="I87:J87"/>
    <mergeCell ref="I88:J88"/>
    <mergeCell ref="I76:J76"/>
    <mergeCell ref="I77:J77"/>
    <mergeCell ref="I78:J78"/>
    <mergeCell ref="I79:J79"/>
    <mergeCell ref="I83:J83"/>
    <mergeCell ref="I51:J51"/>
    <mergeCell ref="I52:J52"/>
    <mergeCell ref="I53:J53"/>
    <mergeCell ref="I54:J54"/>
    <mergeCell ref="I55:J55"/>
    <mergeCell ref="I101:J101"/>
    <mergeCell ref="I100:J100"/>
    <mergeCell ref="I102:J102"/>
    <mergeCell ref="I103:J103"/>
    <mergeCell ref="I56:J56"/>
    <mergeCell ref="I57:J57"/>
    <mergeCell ref="I65:J65"/>
    <mergeCell ref="I66:J66"/>
    <mergeCell ref="I74:J74"/>
    <mergeCell ref="I67:J67"/>
    <mergeCell ref="I68:J68"/>
    <mergeCell ref="I69:J69"/>
    <mergeCell ref="I70:J70"/>
    <mergeCell ref="I75:J75"/>
    <mergeCell ref="I98:J98"/>
    <mergeCell ref="I99:J99"/>
    <mergeCell ref="I142:J142"/>
    <mergeCell ref="I131:J131"/>
    <mergeCell ref="I137:J137"/>
    <mergeCell ref="I138:J138"/>
    <mergeCell ref="I139:J139"/>
    <mergeCell ref="I140:J140"/>
    <mergeCell ref="I141:J141"/>
    <mergeCell ref="I122:J122"/>
    <mergeCell ref="I110:J110"/>
    <mergeCell ref="I111:J111"/>
    <mergeCell ref="I112:J112"/>
    <mergeCell ref="I119:J119"/>
    <mergeCell ref="I120:J120"/>
    <mergeCell ref="I121:J121"/>
    <mergeCell ref="C117:J117"/>
    <mergeCell ref="C3:J3"/>
    <mergeCell ref="E5:G5"/>
    <mergeCell ref="H5:J5"/>
    <mergeCell ref="B147:G147"/>
    <mergeCell ref="I93:J93"/>
    <mergeCell ref="I94:J94"/>
    <mergeCell ref="I108:J108"/>
    <mergeCell ref="I109:J109"/>
    <mergeCell ref="I118:J118"/>
    <mergeCell ref="I127:J127"/>
    <mergeCell ref="I128:J128"/>
    <mergeCell ref="I135:J135"/>
    <mergeCell ref="I136:J136"/>
    <mergeCell ref="I143:J143"/>
    <mergeCell ref="I129:J129"/>
    <mergeCell ref="I130:J130"/>
  </mergeCells>
  <pageMargins left="0.7" right="0.7" top="0.75" bottom="0.75" header="0.3" footer="0.3"/>
  <pageSetup scale="60" fitToHeight="100" orientation="portrait" horizontalDpi="300" verticalDpi="300" r:id="rId1"/>
  <headerFooter>
    <oddHeader>&amp;CAnalysisPlace.com   IT Project ROI and Business Case Toolkit</oddHeader>
    <oddFooter>&amp;L&amp;A&amp;C&amp;F&amp;R&amp;P of &amp;N</oddFooter>
  </headerFooter>
  <rowBreaks count="2" manualBreakCount="2">
    <brk id="59" max="10" man="1"/>
    <brk id="114"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B050"/>
    <outlinePr summaryBelow="0" summaryRight="0"/>
  </sheetPr>
  <dimension ref="A1:T313"/>
  <sheetViews>
    <sheetView showGridLines="0" workbookViewId="0" xr3:uid="{9B253EF2-77E0-53E3-AE26-4D66ECD923F3}"/>
  </sheetViews>
  <sheetFormatPr defaultColWidth="9.140625" defaultRowHeight="12.75"/>
  <cols>
    <col min="1" max="2" width="2.7109375" style="32" customWidth="1"/>
    <col min="3" max="3" width="3.85546875" style="32" customWidth="1"/>
    <col min="4" max="4" width="40.28515625" style="32" customWidth="1"/>
    <col min="5" max="5" width="9.85546875" style="32" bestFit="1" customWidth="1"/>
    <col min="6" max="6" width="8.140625" style="32" customWidth="1"/>
    <col min="7" max="7" width="8.5703125" style="32" customWidth="1"/>
    <col min="8" max="8" width="8.140625" style="32" customWidth="1"/>
    <col min="9" max="9" width="10" style="32" bestFit="1" customWidth="1"/>
    <col min="10" max="10" width="6.7109375" style="32" customWidth="1"/>
    <col min="11" max="11" width="6.7109375" style="32" bestFit="1" customWidth="1"/>
    <col min="12" max="12" width="8.140625" style="32" bestFit="1" customWidth="1"/>
    <col min="13" max="13" width="7.140625" style="32" customWidth="1"/>
    <col min="14" max="14" width="6.85546875" style="32" customWidth="1"/>
    <col min="15" max="15" width="6.7109375" style="32" bestFit="1" customWidth="1"/>
    <col min="16" max="16" width="8.140625" style="32" bestFit="1" customWidth="1"/>
    <col min="17" max="17" width="1.5703125" style="15" customWidth="1"/>
    <col min="18" max="18" width="9.140625" style="15"/>
    <col min="19" max="19" width="51.5703125" style="15" customWidth="1"/>
    <col min="20" max="20" width="52.42578125" style="15" customWidth="1"/>
    <col min="21" max="16384" width="9.140625" style="15"/>
  </cols>
  <sheetData>
    <row r="1" spans="1:20" s="105" customFormat="1" ht="30" customHeight="1">
      <c r="A1" s="426"/>
      <c r="B1" s="420" t="s">
        <v>165</v>
      </c>
      <c r="C1" s="419"/>
      <c r="D1" s="419"/>
      <c r="E1" s="419"/>
      <c r="F1" s="419"/>
      <c r="G1" s="419"/>
      <c r="H1" s="419"/>
      <c r="I1" s="419"/>
      <c r="J1" s="419"/>
      <c r="K1" s="419"/>
      <c r="L1" s="419"/>
      <c r="M1" s="419"/>
      <c r="N1" s="419"/>
      <c r="O1" s="419"/>
      <c r="P1" s="419"/>
      <c r="Q1" s="419"/>
      <c r="R1" s="100" t="s">
        <v>0</v>
      </c>
      <c r="S1" s="398"/>
      <c r="T1" s="398"/>
    </row>
    <row r="2" spans="1:20" ht="27">
      <c r="A2" s="427" t="s">
        <v>501</v>
      </c>
      <c r="B2" s="4"/>
      <c r="C2" s="4"/>
      <c r="D2" s="398"/>
      <c r="E2" s="398"/>
      <c r="F2" s="398"/>
      <c r="G2" s="398"/>
      <c r="H2" s="398"/>
      <c r="I2" s="398"/>
      <c r="J2" s="398"/>
      <c r="K2" s="398"/>
      <c r="L2" s="398"/>
      <c r="M2" s="398"/>
      <c r="N2" s="398"/>
      <c r="O2" s="398"/>
      <c r="P2" s="398"/>
      <c r="Q2" s="398"/>
      <c r="R2" s="398"/>
      <c r="S2" s="398"/>
      <c r="T2" s="398"/>
    </row>
    <row r="3" spans="1:20" s="28" customFormat="1" ht="72" customHeight="1">
      <c r="A3" s="398"/>
      <c r="B3" s="764" t="s">
        <v>502</v>
      </c>
      <c r="C3" s="764"/>
      <c r="D3" s="764"/>
      <c r="E3" s="764"/>
      <c r="F3" s="764"/>
      <c r="G3" s="764"/>
      <c r="H3" s="764"/>
      <c r="I3" s="764"/>
      <c r="J3" s="764"/>
      <c r="K3" s="764"/>
      <c r="L3" s="764"/>
      <c r="M3" s="764"/>
      <c r="N3" s="764"/>
      <c r="O3" s="764"/>
      <c r="P3" s="764"/>
      <c r="Q3" s="398"/>
      <c r="R3" s="398"/>
      <c r="S3" s="398"/>
      <c r="T3" s="398"/>
    </row>
    <row r="4" spans="1:20" s="31" customFormat="1">
      <c r="A4" s="398"/>
      <c r="B4" s="398"/>
      <c r="C4" s="108" t="s">
        <v>503</v>
      </c>
      <c r="D4" s="398"/>
      <c r="E4" s="398"/>
      <c r="F4" s="398"/>
      <c r="G4" s="398"/>
      <c r="H4" s="398"/>
      <c r="I4" s="398"/>
      <c r="J4" s="398"/>
      <c r="K4" s="398"/>
      <c r="L4" s="398"/>
      <c r="M4" s="398"/>
      <c r="N4" s="398"/>
      <c r="O4" s="398"/>
      <c r="P4" s="398"/>
      <c r="Q4" s="398"/>
      <c r="R4" s="398"/>
      <c r="S4" s="398"/>
      <c r="T4" s="398"/>
    </row>
    <row r="5" spans="1:20" s="31" customFormat="1">
      <c r="A5" s="398"/>
      <c r="B5" s="398"/>
      <c r="C5" s="398"/>
      <c r="D5" s="129" t="str">
        <f>A10</f>
        <v>Allocation of Time Across Business Activity Categories</v>
      </c>
      <c r="E5" s="398"/>
      <c r="F5" s="398"/>
      <c r="G5" s="398"/>
      <c r="H5" s="398"/>
      <c r="I5" s="398"/>
      <c r="J5" s="398"/>
      <c r="K5" s="398"/>
      <c r="L5" s="398"/>
      <c r="M5" s="398"/>
      <c r="N5" s="398"/>
      <c r="O5" s="398"/>
      <c r="P5" s="398"/>
      <c r="Q5" s="398"/>
      <c r="R5" s="398"/>
      <c r="S5" s="398"/>
      <c r="T5" s="398"/>
    </row>
    <row r="6" spans="1:20" s="31" customFormat="1">
      <c r="A6" s="398"/>
      <c r="B6" s="398"/>
      <c r="C6" s="398"/>
      <c r="D6" s="129" t="str">
        <f>A91</f>
        <v>Allocation of Time Across Detailed Activities and Efficiency Improvements</v>
      </c>
      <c r="E6" s="398"/>
      <c r="F6" s="398"/>
      <c r="G6" s="398"/>
      <c r="H6" s="398"/>
      <c r="I6" s="398"/>
      <c r="J6" s="398"/>
      <c r="K6" s="398"/>
      <c r="L6" s="398"/>
      <c r="M6" s="398"/>
      <c r="N6" s="398"/>
      <c r="O6" s="398"/>
      <c r="P6" s="398"/>
      <c r="Q6" s="398"/>
      <c r="R6" s="398"/>
      <c r="S6" s="398"/>
      <c r="T6" s="398"/>
    </row>
    <row r="7" spans="1:20" s="31" customFormat="1">
      <c r="A7" s="398"/>
      <c r="B7" s="398"/>
      <c r="C7" s="398"/>
      <c r="D7" s="129" t="str">
        <f>A200</f>
        <v>Summary of Productivity Improvements (Time Saved)</v>
      </c>
      <c r="E7" s="398"/>
      <c r="F7" s="398"/>
      <c r="G7" s="398"/>
      <c r="H7" s="398"/>
      <c r="I7" s="398"/>
      <c r="J7" s="398"/>
      <c r="K7" s="398"/>
      <c r="L7" s="398"/>
      <c r="M7" s="398"/>
      <c r="N7" s="398"/>
      <c r="O7" s="398"/>
      <c r="P7" s="398"/>
      <c r="Q7" s="398"/>
      <c r="R7" s="398"/>
      <c r="S7" s="398"/>
      <c r="T7" s="398"/>
    </row>
    <row r="8" spans="1:20" s="31" customFormat="1">
      <c r="A8" s="398"/>
      <c r="B8" s="398"/>
      <c r="C8" s="398"/>
      <c r="D8" s="129" t="str">
        <f>A275</f>
        <v>Business Value of Time Saved</v>
      </c>
      <c r="E8" s="398"/>
      <c r="F8" s="398"/>
      <c r="G8" s="398"/>
      <c r="H8" s="398"/>
      <c r="I8" s="398"/>
      <c r="J8" s="398"/>
      <c r="K8" s="398"/>
      <c r="L8" s="398"/>
      <c r="M8" s="398"/>
      <c r="N8" s="398"/>
      <c r="O8" s="398"/>
      <c r="P8" s="398"/>
      <c r="Q8" s="398"/>
      <c r="R8" s="398"/>
      <c r="S8" s="398"/>
      <c r="T8" s="398"/>
    </row>
    <row r="9" spans="1:20" s="31" customFormat="1" ht="6" customHeight="1">
      <c r="A9" s="398"/>
      <c r="B9" s="398"/>
      <c r="C9" s="398"/>
      <c r="D9" s="398"/>
      <c r="E9" s="398"/>
      <c r="F9" s="398"/>
      <c r="G9" s="398"/>
      <c r="H9" s="398"/>
      <c r="I9" s="398"/>
      <c r="J9" s="398"/>
      <c r="K9" s="398"/>
      <c r="L9" s="398"/>
      <c r="M9" s="398"/>
      <c r="N9" s="398"/>
      <c r="O9" s="398"/>
      <c r="P9" s="398"/>
      <c r="Q9" s="398"/>
      <c r="R9" s="398"/>
      <c r="S9" s="398"/>
      <c r="T9" s="398"/>
    </row>
    <row r="10" spans="1:20" s="28" customFormat="1" ht="22.5">
      <c r="A10" s="3" t="s">
        <v>504</v>
      </c>
      <c r="B10" s="3"/>
      <c r="C10" s="398"/>
      <c r="D10" s="398"/>
      <c r="E10" s="398"/>
      <c r="F10" s="398"/>
      <c r="G10" s="398"/>
      <c r="H10" s="398"/>
      <c r="I10" s="398"/>
      <c r="J10" s="398"/>
      <c r="K10" s="398"/>
      <c r="L10" s="398"/>
      <c r="M10" s="398"/>
      <c r="N10" s="398"/>
      <c r="O10" s="398"/>
      <c r="P10" s="398"/>
      <c r="Q10" s="398"/>
      <c r="R10" s="398"/>
      <c r="S10" s="398"/>
      <c r="T10" s="398"/>
    </row>
    <row r="11" spans="1:20" s="28" customFormat="1" ht="39" customHeight="1">
      <c r="A11" s="398"/>
      <c r="B11" s="764" t="s">
        <v>505</v>
      </c>
      <c r="C11" s="764"/>
      <c r="D11" s="764"/>
      <c r="E11" s="764"/>
      <c r="F11" s="764"/>
      <c r="G11" s="764"/>
      <c r="H11" s="764"/>
      <c r="I11" s="764"/>
      <c r="J11" s="764"/>
      <c r="K11" s="764"/>
      <c r="L11" s="764"/>
      <c r="M11" s="764"/>
      <c r="N11" s="764"/>
      <c r="O11" s="764"/>
      <c r="P11" s="764"/>
      <c r="Q11" s="398"/>
      <c r="R11" s="398"/>
      <c r="S11" s="398"/>
      <c r="T11" s="398"/>
    </row>
    <row r="12" spans="1:20" ht="12.75" customHeight="1">
      <c r="A12" s="398"/>
      <c r="B12" s="398"/>
      <c r="C12" s="398"/>
      <c r="D12" s="398"/>
      <c r="E12" s="782" t="s">
        <v>506</v>
      </c>
      <c r="F12" s="789"/>
      <c r="G12" s="782" t="s">
        <v>507</v>
      </c>
      <c r="H12" s="783"/>
      <c r="I12" s="398"/>
      <c r="J12" s="398"/>
      <c r="K12" s="398"/>
      <c r="L12" s="398"/>
      <c r="M12" s="398"/>
      <c r="N12" s="398"/>
      <c r="O12" s="398"/>
      <c r="P12" s="398"/>
      <c r="Q12" s="398"/>
      <c r="R12" s="398"/>
      <c r="S12" s="398"/>
      <c r="T12" s="398"/>
    </row>
    <row r="13" spans="1:20" ht="25.5">
      <c r="A13" s="398"/>
      <c r="B13" s="398"/>
      <c r="C13" s="398"/>
      <c r="D13" s="398"/>
      <c r="E13" s="694" t="str">
        <f>$E$94</f>
        <v>Info Wrkr</v>
      </c>
      <c r="F13" s="671" t="str">
        <f>$F$94</f>
        <v>Task Wrkr</v>
      </c>
      <c r="G13" s="694" t="str">
        <f>$E$94</f>
        <v>Info Wrkr</v>
      </c>
      <c r="H13" s="671" t="str">
        <f>$F$94</f>
        <v>Task Wrkr</v>
      </c>
      <c r="I13" s="398"/>
      <c r="J13" s="398"/>
      <c r="K13" s="398"/>
      <c r="L13" s="835" t="s">
        <v>246</v>
      </c>
      <c r="M13" s="783"/>
      <c r="N13" s="835"/>
      <c r="O13" s="835"/>
      <c r="P13" s="835"/>
      <c r="Q13" s="398"/>
      <c r="R13" s="398"/>
      <c r="S13" s="398"/>
      <c r="T13" s="398"/>
    </row>
    <row r="14" spans="1:20" ht="15.75" thickBot="1">
      <c r="A14" s="398"/>
      <c r="B14" s="6" t="s">
        <v>508</v>
      </c>
      <c r="C14" s="398"/>
      <c r="D14" s="398"/>
      <c r="E14" s="398"/>
      <c r="F14" s="398"/>
      <c r="G14" s="398"/>
      <c r="H14" s="398"/>
      <c r="I14" s="398"/>
      <c r="J14" s="398"/>
      <c r="K14" s="398"/>
      <c r="L14" s="398"/>
      <c r="M14" s="398"/>
      <c r="N14" s="398"/>
      <c r="O14" s="398"/>
      <c r="P14" s="398"/>
      <c r="Q14" s="398"/>
      <c r="R14" s="398"/>
      <c r="S14" s="398"/>
      <c r="T14" s="398"/>
    </row>
    <row r="15" spans="1:20">
      <c r="A15" s="398"/>
      <c r="B15" s="398"/>
      <c r="C15" s="398"/>
      <c r="D15" s="130" t="str">
        <f>B93</f>
        <v>Individual Computing</v>
      </c>
      <c r="E15" s="673">
        <v>0.32</v>
      </c>
      <c r="F15" s="475">
        <v>0.3</v>
      </c>
      <c r="G15" s="127">
        <f t="shared" ref="G15:H18" si="0">E15*WorkHrs/52</f>
        <v>11.224615384615387</v>
      </c>
      <c r="H15" s="104">
        <f t="shared" si="0"/>
        <v>10.523076923076921</v>
      </c>
      <c r="I15" s="398"/>
      <c r="J15" s="398"/>
      <c r="K15" s="398"/>
      <c r="L15" s="849"/>
      <c r="M15" s="850"/>
      <c r="N15" s="850"/>
      <c r="O15" s="850"/>
      <c r="P15" s="851"/>
      <c r="Q15" s="398"/>
      <c r="R15" s="398"/>
      <c r="S15" s="398"/>
      <c r="T15" s="398"/>
    </row>
    <row r="16" spans="1:20">
      <c r="A16" s="398"/>
      <c r="B16" s="398"/>
      <c r="C16" s="398"/>
      <c r="D16" s="130" t="str">
        <f>B129</f>
        <v>Collaborative Computing</v>
      </c>
      <c r="E16" s="674">
        <v>0.21</v>
      </c>
      <c r="F16" s="477">
        <v>0.03</v>
      </c>
      <c r="G16" s="127">
        <f t="shared" si="0"/>
        <v>7.3661538461538454</v>
      </c>
      <c r="H16" s="104">
        <f t="shared" si="0"/>
        <v>1.0523076923076924</v>
      </c>
      <c r="I16" s="398"/>
      <c r="J16" s="398"/>
      <c r="K16" s="398"/>
      <c r="L16" s="849"/>
      <c r="M16" s="850"/>
      <c r="N16" s="850"/>
      <c r="O16" s="850"/>
      <c r="P16" s="851"/>
      <c r="Q16" s="398"/>
      <c r="R16" s="398"/>
      <c r="S16" s="398"/>
      <c r="T16" s="398"/>
    </row>
    <row r="17" spans="1:20" ht="13.5" thickBot="1">
      <c r="A17" s="398"/>
      <c r="B17" s="398"/>
      <c r="C17" s="398"/>
      <c r="D17" s="188" t="str">
        <f>B154</f>
        <v>PC Systems Management</v>
      </c>
      <c r="E17" s="668">
        <v>0.04</v>
      </c>
      <c r="F17" s="478">
        <v>0.02</v>
      </c>
      <c r="G17" s="127">
        <f t="shared" si="0"/>
        <v>1.4030769230769233</v>
      </c>
      <c r="H17" s="104">
        <f t="shared" si="0"/>
        <v>0.70153846153846167</v>
      </c>
      <c r="I17" s="398"/>
      <c r="J17" s="398"/>
      <c r="K17" s="398"/>
      <c r="L17" s="849"/>
      <c r="M17" s="850"/>
      <c r="N17" s="850"/>
      <c r="O17" s="850"/>
      <c r="P17" s="851"/>
      <c r="Q17" s="398"/>
      <c r="R17" s="398"/>
      <c r="S17" s="398"/>
      <c r="T17" s="398"/>
    </row>
    <row r="18" spans="1:20" ht="13.5" thickBot="1">
      <c r="A18" s="398"/>
      <c r="B18" s="398"/>
      <c r="C18" s="398"/>
      <c r="D18" s="239" t="s">
        <v>509</v>
      </c>
      <c r="E18" s="238">
        <f>1-SUM(E15:E17)</f>
        <v>0.42999999999999994</v>
      </c>
      <c r="F18" s="141">
        <f>1-SUM(F15:F17)</f>
        <v>0.65</v>
      </c>
      <c r="G18" s="127">
        <f t="shared" si="0"/>
        <v>15.083076923076922</v>
      </c>
      <c r="H18" s="104">
        <f t="shared" si="0"/>
        <v>22.800000000000004</v>
      </c>
      <c r="I18" s="398"/>
      <c r="J18" s="398"/>
      <c r="K18" s="398"/>
      <c r="L18" s="852"/>
      <c r="M18" s="853"/>
      <c r="N18" s="853"/>
      <c r="O18" s="853"/>
      <c r="P18" s="854"/>
      <c r="Q18" s="398"/>
      <c r="R18" s="398"/>
      <c r="S18" s="398"/>
      <c r="T18" s="398"/>
    </row>
    <row r="19" spans="1:20" ht="13.5" thickTop="1">
      <c r="A19" s="398"/>
      <c r="B19" s="398"/>
      <c r="C19" s="398"/>
      <c r="D19" s="702" t="s">
        <v>510</v>
      </c>
      <c r="E19" s="168">
        <f>SUM(E15:E18)</f>
        <v>1</v>
      </c>
      <c r="F19" s="233">
        <f>SUM(F15:F18)</f>
        <v>1</v>
      </c>
      <c r="G19" s="229">
        <f>SUM(G15:G18)</f>
        <v>35.07692307692308</v>
      </c>
      <c r="H19" s="229">
        <f>SUM(H15:H18)</f>
        <v>35.07692307692308</v>
      </c>
      <c r="I19" s="398"/>
      <c r="J19" s="398"/>
      <c r="K19" s="398"/>
      <c r="L19" s="398"/>
      <c r="M19" s="398"/>
      <c r="N19" s="398"/>
      <c r="O19" s="398"/>
      <c r="P19" s="398"/>
      <c r="Q19" s="398"/>
      <c r="R19" s="398"/>
      <c r="S19" s="398"/>
      <c r="T19" s="398"/>
    </row>
    <row r="20" spans="1:20" s="28" customFormat="1" ht="4.5" customHeight="1">
      <c r="A20" s="398"/>
      <c r="B20" s="398"/>
      <c r="C20" s="398"/>
      <c r="D20" s="398"/>
      <c r="E20" s="398"/>
      <c r="F20" s="398"/>
      <c r="G20" s="398"/>
      <c r="H20" s="398"/>
      <c r="I20" s="398"/>
      <c r="J20" s="398"/>
      <c r="K20" s="398"/>
      <c r="L20" s="398"/>
      <c r="M20" s="398"/>
      <c r="N20" s="398"/>
      <c r="O20" s="398"/>
      <c r="P20" s="398"/>
      <c r="Q20" s="398"/>
      <c r="R20" s="398"/>
      <c r="S20" s="398"/>
      <c r="T20" s="398"/>
    </row>
    <row r="21" spans="1:20" s="28" customFormat="1" ht="15">
      <c r="A21" s="398"/>
      <c r="B21" s="6" t="s">
        <v>511</v>
      </c>
      <c r="C21" s="398"/>
      <c r="D21" s="398"/>
      <c r="E21" s="398"/>
      <c r="F21" s="398"/>
      <c r="G21" s="398"/>
      <c r="H21" s="398"/>
      <c r="I21" s="398"/>
      <c r="J21" s="398"/>
      <c r="K21" s="398"/>
      <c r="L21" s="398"/>
      <c r="M21" s="398"/>
      <c r="N21" s="398"/>
      <c r="O21" s="398"/>
      <c r="P21" s="398"/>
      <c r="Q21" s="398"/>
      <c r="R21" s="398"/>
      <c r="S21" s="398"/>
      <c r="T21" s="398"/>
    </row>
    <row r="22" spans="1:20" ht="15" thickBot="1">
      <c r="A22" s="398"/>
      <c r="B22" s="398"/>
      <c r="C22" s="8" t="s">
        <v>512</v>
      </c>
      <c r="D22" s="398"/>
      <c r="E22" s="398"/>
      <c r="F22" s="398"/>
      <c r="G22" s="398"/>
      <c r="H22" s="398"/>
      <c r="I22" s="398"/>
      <c r="J22" s="398"/>
      <c r="K22" s="398"/>
      <c r="L22" s="398"/>
      <c r="M22" s="398"/>
      <c r="N22" s="398"/>
      <c r="O22" s="398"/>
      <c r="P22" s="398"/>
      <c r="Q22" s="398"/>
      <c r="R22" s="398"/>
      <c r="S22" s="398"/>
      <c r="T22" s="398"/>
    </row>
    <row r="23" spans="1:20">
      <c r="A23" s="398"/>
      <c r="B23" s="398"/>
      <c r="C23" s="398"/>
      <c r="D23" s="130" t="str">
        <f>C95</f>
        <v>Document Creation</v>
      </c>
      <c r="E23" s="673">
        <v>0.25</v>
      </c>
      <c r="F23" s="475">
        <v>0.28000000000000003</v>
      </c>
      <c r="G23" s="127">
        <f t="shared" ref="G23:H27" si="1">E23*G$15</f>
        <v>2.8061538461538467</v>
      </c>
      <c r="H23" s="104">
        <f t="shared" si="1"/>
        <v>2.9464615384615382</v>
      </c>
      <c r="I23" s="398"/>
      <c r="J23" s="398"/>
      <c r="K23" s="398"/>
      <c r="L23" s="849"/>
      <c r="M23" s="850"/>
      <c r="N23" s="850"/>
      <c r="O23" s="850"/>
      <c r="P23" s="851"/>
      <c r="Q23" s="398"/>
      <c r="R23" s="398"/>
      <c r="S23" s="398"/>
      <c r="T23" s="398"/>
    </row>
    <row r="24" spans="1:20">
      <c r="A24" s="398"/>
      <c r="B24" s="398"/>
      <c r="C24" s="398"/>
      <c r="D24" s="130" t="str">
        <f>C103</f>
        <v>Data &amp; Information Access/Analysis</v>
      </c>
      <c r="E24" s="674">
        <v>0.1</v>
      </c>
      <c r="F24" s="477">
        <v>0.05</v>
      </c>
      <c r="G24" s="127">
        <f t="shared" si="1"/>
        <v>1.1224615384615386</v>
      </c>
      <c r="H24" s="104">
        <f t="shared" si="1"/>
        <v>0.52615384615384608</v>
      </c>
      <c r="I24" s="398"/>
      <c r="J24" s="398"/>
      <c r="K24" s="398"/>
      <c r="L24" s="849"/>
      <c r="M24" s="850"/>
      <c r="N24" s="850"/>
      <c r="O24" s="850"/>
      <c r="P24" s="851"/>
      <c r="Q24" s="398"/>
      <c r="R24" s="398"/>
      <c r="S24" s="398"/>
      <c r="T24" s="398"/>
    </row>
    <row r="25" spans="1:20">
      <c r="A25" s="398"/>
      <c r="B25" s="398"/>
      <c r="C25" s="398"/>
      <c r="D25" s="130" t="str">
        <f>C111</f>
        <v>Email, Calendar, Contact, &amp; Task Mgmt</v>
      </c>
      <c r="E25" s="674">
        <v>0.24</v>
      </c>
      <c r="F25" s="477">
        <v>0.08</v>
      </c>
      <c r="G25" s="127">
        <f t="shared" si="1"/>
        <v>2.6939076923076928</v>
      </c>
      <c r="H25" s="104">
        <f t="shared" si="1"/>
        <v>0.84184615384615369</v>
      </c>
      <c r="I25" s="398"/>
      <c r="J25" s="398"/>
      <c r="K25" s="398"/>
      <c r="L25" s="849"/>
      <c r="M25" s="850"/>
      <c r="N25" s="850"/>
      <c r="O25" s="850"/>
      <c r="P25" s="851"/>
      <c r="Q25" s="398"/>
      <c r="R25" s="398"/>
      <c r="S25" s="398"/>
      <c r="T25" s="398"/>
    </row>
    <row r="26" spans="1:20" ht="13.5" thickBot="1">
      <c r="A26" s="398"/>
      <c r="B26" s="398"/>
      <c r="C26" s="398"/>
      <c r="D26" s="130" t="str">
        <f>C117</f>
        <v>LOB Application-Related Activities</v>
      </c>
      <c r="E26" s="668">
        <v>0.31</v>
      </c>
      <c r="F26" s="478">
        <v>0.52</v>
      </c>
      <c r="G26" s="127">
        <f t="shared" si="1"/>
        <v>3.47963076923077</v>
      </c>
      <c r="H26" s="104">
        <f t="shared" si="1"/>
        <v>5.4719999999999995</v>
      </c>
      <c r="I26" s="398"/>
      <c r="J26" s="398"/>
      <c r="K26" s="398"/>
      <c r="L26" s="849"/>
      <c r="M26" s="850"/>
      <c r="N26" s="850"/>
      <c r="O26" s="850"/>
      <c r="P26" s="851"/>
      <c r="Q26" s="398"/>
      <c r="R26" s="398"/>
      <c r="S26" s="398"/>
      <c r="T26" s="398"/>
    </row>
    <row r="27" spans="1:20" ht="13.5" thickBot="1">
      <c r="A27" s="398"/>
      <c r="B27" s="398"/>
      <c r="C27" s="398"/>
      <c r="D27" s="188" t="str">
        <f>C122</f>
        <v>Other</v>
      </c>
      <c r="E27" s="141">
        <f>1-SUM(E23:E26)</f>
        <v>0.10000000000000009</v>
      </c>
      <c r="F27" s="141">
        <f>1-SUM(F23:F26)</f>
        <v>6.9999999999999951E-2</v>
      </c>
      <c r="G27" s="127">
        <f t="shared" si="1"/>
        <v>1.1224615384615397</v>
      </c>
      <c r="H27" s="104">
        <f t="shared" si="1"/>
        <v>0.73661538461538401</v>
      </c>
      <c r="I27" s="398"/>
      <c r="J27" s="398"/>
      <c r="K27" s="398"/>
      <c r="L27" s="852"/>
      <c r="M27" s="853"/>
      <c r="N27" s="853"/>
      <c r="O27" s="853"/>
      <c r="P27" s="854"/>
      <c r="Q27" s="398"/>
      <c r="R27" s="398"/>
      <c r="S27" s="398"/>
      <c r="T27" s="398"/>
    </row>
    <row r="28" spans="1:20" ht="13.5" thickTop="1">
      <c r="A28" s="398"/>
      <c r="B28" s="398"/>
      <c r="C28" s="398"/>
      <c r="D28" s="702" t="str">
        <f>D19</f>
        <v>Total (Must sum to 100%)</v>
      </c>
      <c r="E28" s="233">
        <f>SUM(E23:E27)</f>
        <v>1</v>
      </c>
      <c r="F28" s="233">
        <f>SUM(F23:F27)</f>
        <v>1</v>
      </c>
      <c r="G28" s="229">
        <f>SUM(G23:G27)</f>
        <v>11.224615384615388</v>
      </c>
      <c r="H28" s="229">
        <f>SUM(H23:H27)</f>
        <v>10.523076923076921</v>
      </c>
      <c r="I28" s="398"/>
      <c r="J28" s="398"/>
      <c r="K28" s="398"/>
      <c r="L28" s="398"/>
      <c r="M28" s="398"/>
      <c r="N28" s="398"/>
      <c r="O28" s="398"/>
      <c r="P28" s="398"/>
      <c r="Q28" s="398"/>
      <c r="R28" s="398"/>
      <c r="S28" s="398"/>
      <c r="T28" s="398"/>
    </row>
    <row r="29" spans="1:20" ht="15" thickBot="1">
      <c r="A29" s="398"/>
      <c r="B29" s="398"/>
      <c r="C29" s="8" t="s">
        <v>513</v>
      </c>
      <c r="D29" s="398"/>
      <c r="E29" s="398"/>
      <c r="F29" s="398"/>
      <c r="G29" s="398"/>
      <c r="H29" s="398"/>
      <c r="I29" s="398"/>
      <c r="J29" s="398"/>
      <c r="K29" s="398"/>
      <c r="L29" s="398"/>
      <c r="M29" s="398"/>
      <c r="N29" s="398"/>
      <c r="O29" s="398"/>
      <c r="P29" s="398"/>
      <c r="Q29" s="398"/>
      <c r="R29" s="398"/>
      <c r="S29" s="398"/>
      <c r="T29" s="398"/>
    </row>
    <row r="30" spans="1:20">
      <c r="A30" s="398"/>
      <c r="B30" s="398"/>
      <c r="C30" s="398"/>
      <c r="D30" s="130" t="str">
        <f>C131</f>
        <v>Document Collaboration</v>
      </c>
      <c r="E30" s="673">
        <v>0.6</v>
      </c>
      <c r="F30" s="475">
        <v>0.47</v>
      </c>
      <c r="G30" s="127">
        <f t="shared" ref="G30:H33" si="2">E30*G$16</f>
        <v>4.4196923076923067</v>
      </c>
      <c r="H30" s="104">
        <f t="shared" si="2"/>
        <v>0.4945846153846154</v>
      </c>
      <c r="I30" s="398"/>
      <c r="J30" s="398"/>
      <c r="K30" s="398"/>
      <c r="L30" s="849"/>
      <c r="M30" s="850"/>
      <c r="N30" s="850"/>
      <c r="O30" s="850"/>
      <c r="P30" s="851"/>
      <c r="Q30" s="398"/>
      <c r="R30" s="398"/>
      <c r="S30" s="398"/>
      <c r="T30" s="398"/>
    </row>
    <row r="31" spans="1:20">
      <c r="A31" s="398"/>
      <c r="B31" s="398"/>
      <c r="C31" s="398"/>
      <c r="D31" s="130" t="str">
        <f>C137</f>
        <v>Workflow (routing)</v>
      </c>
      <c r="E31" s="674">
        <v>0.15</v>
      </c>
      <c r="F31" s="477">
        <v>0.28000000000000003</v>
      </c>
      <c r="G31" s="127">
        <f t="shared" si="2"/>
        <v>1.1049230769230767</v>
      </c>
      <c r="H31" s="104">
        <f t="shared" si="2"/>
        <v>0.29464615384615389</v>
      </c>
      <c r="I31" s="398"/>
      <c r="J31" s="398"/>
      <c r="K31" s="398"/>
      <c r="L31" s="849"/>
      <c r="M31" s="850"/>
      <c r="N31" s="850"/>
      <c r="O31" s="850"/>
      <c r="P31" s="851"/>
      <c r="Q31" s="398"/>
      <c r="R31" s="398"/>
      <c r="S31" s="398"/>
      <c r="T31" s="398"/>
    </row>
    <row r="32" spans="1:20" ht="13.5" thickBot="1">
      <c r="A32" s="398"/>
      <c r="B32" s="398"/>
      <c r="C32" s="398"/>
      <c r="D32" s="130" t="str">
        <f>C142</f>
        <v>Coordination / Project Mgmt</v>
      </c>
      <c r="E32" s="668">
        <v>0.16</v>
      </c>
      <c r="F32" s="478">
        <v>0.15</v>
      </c>
      <c r="G32" s="127">
        <f t="shared" si="2"/>
        <v>1.1785846153846153</v>
      </c>
      <c r="H32" s="104">
        <f t="shared" si="2"/>
        <v>0.15784615384615386</v>
      </c>
      <c r="I32" s="398"/>
      <c r="J32" s="398"/>
      <c r="K32" s="398"/>
      <c r="L32" s="849"/>
      <c r="M32" s="850"/>
      <c r="N32" s="850"/>
      <c r="O32" s="850"/>
      <c r="P32" s="851"/>
      <c r="Q32" s="398"/>
      <c r="R32" s="398"/>
      <c r="S32" s="398"/>
      <c r="T32" s="398"/>
    </row>
    <row r="33" spans="1:20" ht="13.5" thickBot="1">
      <c r="A33" s="398"/>
      <c r="B33" s="398"/>
      <c r="C33" s="398"/>
      <c r="D33" s="188" t="str">
        <f>C147</f>
        <v>Other</v>
      </c>
      <c r="E33" s="141">
        <f>1-SUM(E30:E32)</f>
        <v>8.9999999999999969E-2</v>
      </c>
      <c r="F33" s="141">
        <f>1-SUM(F30:F32)</f>
        <v>9.9999999999999978E-2</v>
      </c>
      <c r="G33" s="127">
        <f t="shared" si="2"/>
        <v>0.66295384615384589</v>
      </c>
      <c r="H33" s="104">
        <f t="shared" si="2"/>
        <v>0.10523076923076921</v>
      </c>
      <c r="I33" s="398"/>
      <c r="J33" s="398"/>
      <c r="K33" s="398"/>
      <c r="L33" s="852"/>
      <c r="M33" s="853"/>
      <c r="N33" s="853"/>
      <c r="O33" s="853"/>
      <c r="P33" s="854"/>
      <c r="Q33" s="398"/>
      <c r="R33" s="398"/>
      <c r="S33" s="398"/>
      <c r="T33" s="398"/>
    </row>
    <row r="34" spans="1:20" ht="13.5" thickTop="1">
      <c r="A34" s="398"/>
      <c r="B34" s="398"/>
      <c r="C34" s="398"/>
      <c r="D34" s="702" t="str">
        <f>D28</f>
        <v>Total (Must sum to 100%)</v>
      </c>
      <c r="E34" s="233">
        <f>SUM(E30:E33)</f>
        <v>1</v>
      </c>
      <c r="F34" s="233">
        <f>SUM(F30:F33)</f>
        <v>1</v>
      </c>
      <c r="G34" s="229">
        <f>SUM(G30:G33)</f>
        <v>7.3661538461538445</v>
      </c>
      <c r="H34" s="229">
        <f>SUM(H30:H33)</f>
        <v>1.0523076923076924</v>
      </c>
      <c r="I34" s="398"/>
      <c r="J34" s="398"/>
      <c r="K34" s="398"/>
      <c r="L34" s="398"/>
      <c r="M34" s="398"/>
      <c r="N34" s="398"/>
      <c r="O34" s="398"/>
      <c r="P34" s="398"/>
      <c r="Q34" s="398"/>
      <c r="R34" s="398"/>
      <c r="S34" s="398"/>
      <c r="T34" s="398"/>
    </row>
    <row r="35" spans="1:20" ht="15" thickBot="1">
      <c r="A35" s="398"/>
      <c r="B35" s="398"/>
      <c r="C35" s="8" t="s">
        <v>514</v>
      </c>
      <c r="D35" s="398"/>
      <c r="E35" s="398"/>
      <c r="F35" s="398"/>
      <c r="G35" s="398"/>
      <c r="H35" s="398"/>
      <c r="I35" s="398"/>
      <c r="J35" s="398"/>
      <c r="K35" s="398"/>
      <c r="L35" s="398"/>
      <c r="M35" s="398"/>
      <c r="N35" s="398"/>
      <c r="O35" s="398"/>
      <c r="P35" s="398"/>
      <c r="Q35" s="398"/>
      <c r="R35" s="398"/>
      <c r="S35" s="398"/>
      <c r="T35" s="398"/>
    </row>
    <row r="36" spans="1:20">
      <c r="A36" s="398"/>
      <c r="B36" s="398"/>
      <c r="C36" s="398"/>
      <c r="D36" s="130" t="str">
        <f>C156</f>
        <v>Support, Self-Help, &amp; Learning</v>
      </c>
      <c r="E36" s="673">
        <v>0.35</v>
      </c>
      <c r="F36" s="475">
        <v>0.4</v>
      </c>
      <c r="G36" s="127">
        <f t="shared" ref="G36:H41" si="3">E36*G$17</f>
        <v>0.49107692307692313</v>
      </c>
      <c r="H36" s="104">
        <f t="shared" si="3"/>
        <v>0.28061538461538466</v>
      </c>
      <c r="I36" s="398"/>
      <c r="J36" s="398"/>
      <c r="K36" s="398"/>
      <c r="L36" s="849"/>
      <c r="M36" s="850"/>
      <c r="N36" s="850"/>
      <c r="O36" s="850"/>
      <c r="P36" s="851"/>
      <c r="Q36" s="398"/>
      <c r="R36" s="398"/>
      <c r="S36" s="398"/>
      <c r="T36" s="398"/>
    </row>
    <row r="37" spans="1:20">
      <c r="A37" s="398"/>
      <c r="B37" s="398"/>
      <c r="C37" s="398"/>
      <c r="D37" s="130" t="str">
        <f>C164</f>
        <v>Performance</v>
      </c>
      <c r="E37" s="674">
        <v>0.25</v>
      </c>
      <c r="F37" s="477">
        <v>0.25</v>
      </c>
      <c r="G37" s="127">
        <f t="shared" si="3"/>
        <v>0.35076923076923083</v>
      </c>
      <c r="H37" s="104">
        <f t="shared" si="3"/>
        <v>0.17538461538461542</v>
      </c>
      <c r="I37" s="398"/>
      <c r="J37" s="398"/>
      <c r="K37" s="398"/>
      <c r="L37" s="849"/>
      <c r="M37" s="850"/>
      <c r="N37" s="850"/>
      <c r="O37" s="850"/>
      <c r="P37" s="851"/>
      <c r="Q37" s="398"/>
      <c r="R37" s="398"/>
      <c r="S37" s="398"/>
      <c r="T37" s="398"/>
    </row>
    <row r="38" spans="1:20">
      <c r="A38" s="398"/>
      <c r="B38" s="398"/>
      <c r="C38" s="398"/>
      <c r="D38" s="130" t="str">
        <f>C170</f>
        <v>Mobility &amp; Remote Connectivity</v>
      </c>
      <c r="E38" s="674">
        <v>0.17</v>
      </c>
      <c r="F38" s="477">
        <v>0.06</v>
      </c>
      <c r="G38" s="127">
        <f t="shared" si="3"/>
        <v>0.23852307692307698</v>
      </c>
      <c r="H38" s="104">
        <f t="shared" si="3"/>
        <v>4.20923076923077E-2</v>
      </c>
      <c r="I38" s="398"/>
      <c r="J38" s="398"/>
      <c r="K38" s="398"/>
      <c r="L38" s="849"/>
      <c r="M38" s="850"/>
      <c r="N38" s="850"/>
      <c r="O38" s="850"/>
      <c r="P38" s="851"/>
      <c r="Q38" s="398"/>
      <c r="R38" s="398"/>
      <c r="S38" s="398"/>
      <c r="T38" s="398"/>
    </row>
    <row r="39" spans="1:20">
      <c r="A39" s="398"/>
      <c r="B39" s="398"/>
      <c r="C39" s="398"/>
      <c r="D39" s="130" t="str">
        <f>C177</f>
        <v>Security &amp; Privacy</v>
      </c>
      <c r="E39" s="674">
        <v>0.13</v>
      </c>
      <c r="F39" s="477">
        <v>0.15</v>
      </c>
      <c r="G39" s="127">
        <f t="shared" si="3"/>
        <v>0.18240000000000003</v>
      </c>
      <c r="H39" s="104">
        <f t="shared" si="3"/>
        <v>0.10523076923076925</v>
      </c>
      <c r="I39" s="398"/>
      <c r="J39" s="398"/>
      <c r="K39" s="398"/>
      <c r="L39" s="849"/>
      <c r="M39" s="850"/>
      <c r="N39" s="850"/>
      <c r="O39" s="850"/>
      <c r="P39" s="851"/>
      <c r="Q39" s="398"/>
      <c r="R39" s="398"/>
      <c r="S39" s="398"/>
      <c r="T39" s="398"/>
    </row>
    <row r="40" spans="1:20" ht="13.5" thickBot="1">
      <c r="A40" s="398"/>
      <c r="B40" s="398"/>
      <c r="C40" s="398"/>
      <c r="D40" s="130" t="str">
        <f>C183</f>
        <v>System UI Navigation</v>
      </c>
      <c r="E40" s="668">
        <v>0.06</v>
      </c>
      <c r="F40" s="478">
        <v>0.08</v>
      </c>
      <c r="G40" s="127">
        <f t="shared" si="3"/>
        <v>8.4184615384615399E-2</v>
      </c>
      <c r="H40" s="104">
        <f t="shared" si="3"/>
        <v>5.6123076923076935E-2</v>
      </c>
      <c r="I40" s="398"/>
      <c r="J40" s="398"/>
      <c r="K40" s="398"/>
      <c r="L40" s="849"/>
      <c r="M40" s="850"/>
      <c r="N40" s="850"/>
      <c r="O40" s="850"/>
      <c r="P40" s="851"/>
      <c r="Q40" s="398"/>
      <c r="R40" s="398"/>
      <c r="S40" s="398"/>
      <c r="T40" s="398"/>
    </row>
    <row r="41" spans="1:20" ht="13.5" thickBot="1">
      <c r="A41" s="398"/>
      <c r="B41" s="398"/>
      <c r="C41" s="398"/>
      <c r="D41" s="188" t="str">
        <f>C188</f>
        <v>Availability &amp; Reliability</v>
      </c>
      <c r="E41" s="141">
        <f>1-SUM(E36:E40)</f>
        <v>4.0000000000000036E-2</v>
      </c>
      <c r="F41" s="141">
        <f>1-SUM(F36:F40)</f>
        <v>6.0000000000000053E-2</v>
      </c>
      <c r="G41" s="127">
        <f t="shared" si="3"/>
        <v>5.6123076923076984E-2</v>
      </c>
      <c r="H41" s="104">
        <f t="shared" si="3"/>
        <v>4.2092307692307734E-2</v>
      </c>
      <c r="I41" s="398"/>
      <c r="J41" s="398"/>
      <c r="K41" s="398"/>
      <c r="L41" s="852"/>
      <c r="M41" s="853"/>
      <c r="N41" s="853"/>
      <c r="O41" s="853"/>
      <c r="P41" s="854"/>
      <c r="Q41" s="398"/>
      <c r="R41" s="398"/>
      <c r="S41" s="398"/>
      <c r="T41" s="398"/>
    </row>
    <row r="42" spans="1:20" ht="13.5" thickTop="1">
      <c r="A42" s="398"/>
      <c r="B42" s="398"/>
      <c r="C42" s="398"/>
      <c r="D42" s="702" t="str">
        <f>D34</f>
        <v>Total (Must sum to 100%)</v>
      </c>
      <c r="E42" s="233">
        <f>SUM(E36:E41)</f>
        <v>1</v>
      </c>
      <c r="F42" s="233">
        <f>SUM(F36:F41)</f>
        <v>1</v>
      </c>
      <c r="G42" s="229">
        <f>SUM(G36:G41)</f>
        <v>1.4030769230769233</v>
      </c>
      <c r="H42" s="229">
        <f>SUM(H36:H41)</f>
        <v>0.70153846153846178</v>
      </c>
      <c r="I42" s="398"/>
      <c r="J42" s="398"/>
      <c r="K42" s="398"/>
      <c r="L42" s="398"/>
      <c r="M42" s="398"/>
      <c r="N42" s="398"/>
      <c r="O42" s="398"/>
      <c r="P42" s="398"/>
      <c r="Q42" s="398"/>
      <c r="R42" s="398"/>
      <c r="S42" s="398"/>
      <c r="T42" s="398"/>
    </row>
    <row r="43" spans="1:20" s="28" customFormat="1" ht="4.5" customHeight="1">
      <c r="A43" s="398"/>
      <c r="B43" s="398"/>
      <c r="C43" s="398"/>
      <c r="D43" s="398"/>
      <c r="E43" s="398"/>
      <c r="F43" s="398"/>
      <c r="G43" s="398"/>
      <c r="H43" s="398"/>
      <c r="I43" s="398"/>
      <c r="J43" s="398"/>
      <c r="K43" s="398"/>
      <c r="L43" s="398"/>
      <c r="M43" s="398"/>
      <c r="N43" s="398"/>
      <c r="O43" s="398"/>
      <c r="P43" s="398"/>
      <c r="Q43" s="398"/>
      <c r="R43" s="398"/>
      <c r="S43" s="398"/>
      <c r="T43" s="398"/>
    </row>
    <row r="44" spans="1:20" s="28" customFormat="1">
      <c r="A44" s="398"/>
      <c r="B44" s="398"/>
      <c r="C44" s="398"/>
      <c r="D44" s="36" t="str">
        <f>D18</f>
        <v>Non-Computing-Related Activities</v>
      </c>
      <c r="E44" s="398"/>
      <c r="F44" s="398"/>
      <c r="G44" s="104">
        <f>G18</f>
        <v>15.083076923076922</v>
      </c>
      <c r="H44" s="104">
        <f>H18</f>
        <v>22.800000000000004</v>
      </c>
      <c r="I44" s="398"/>
      <c r="J44" s="398"/>
      <c r="K44" s="398"/>
      <c r="L44" s="398"/>
      <c r="M44" s="398"/>
      <c r="N44" s="398"/>
      <c r="O44" s="398"/>
      <c r="P44" s="398"/>
      <c r="Q44" s="398"/>
      <c r="R44" s="398"/>
      <c r="S44" s="398"/>
      <c r="T44" s="398"/>
    </row>
    <row r="45" spans="1:20" s="28" customFormat="1" ht="4.5" customHeight="1" thickBot="1">
      <c r="A45" s="398"/>
      <c r="B45" s="398"/>
      <c r="C45" s="398"/>
      <c r="D45" s="398"/>
      <c r="E45" s="398"/>
      <c r="F45" s="398"/>
      <c r="G45" s="398"/>
      <c r="H45" s="398"/>
      <c r="I45" s="398"/>
      <c r="J45" s="398"/>
      <c r="K45" s="398"/>
      <c r="L45" s="398"/>
      <c r="M45" s="398"/>
      <c r="N45" s="398"/>
      <c r="O45" s="398"/>
      <c r="P45" s="398"/>
      <c r="Q45" s="398"/>
      <c r="R45" s="398"/>
      <c r="S45" s="398"/>
      <c r="T45" s="398"/>
    </row>
    <row r="46" spans="1:20" s="28" customFormat="1" ht="13.5" thickTop="1">
      <c r="A46" s="398"/>
      <c r="B46" s="398"/>
      <c r="C46" s="398"/>
      <c r="D46" s="702" t="s">
        <v>259</v>
      </c>
      <c r="E46" s="398"/>
      <c r="F46" s="398"/>
      <c r="G46" s="229">
        <f>SUM(G28,G34,G42,G44)</f>
        <v>35.07692307692308</v>
      </c>
      <c r="H46" s="229">
        <f>SUM(H28,H34,H42,H44)</f>
        <v>35.07692307692308</v>
      </c>
      <c r="I46" s="398"/>
      <c r="J46" s="398"/>
      <c r="K46" s="398"/>
      <c r="L46" s="398"/>
      <c r="M46" s="398"/>
      <c r="N46" s="398"/>
      <c r="O46" s="398"/>
      <c r="P46" s="398"/>
      <c r="Q46" s="398"/>
      <c r="R46" s="398"/>
      <c r="S46" s="398"/>
      <c r="T46" s="398"/>
    </row>
    <row r="47" spans="1:20" s="28" customFormat="1">
      <c r="A47" s="398"/>
      <c r="B47" s="398"/>
      <c r="C47" s="398"/>
      <c r="D47" s="398"/>
      <c r="E47" s="398"/>
      <c r="F47" s="398"/>
      <c r="G47" s="398"/>
      <c r="H47" s="398"/>
      <c r="I47" s="398"/>
      <c r="J47" s="398"/>
      <c r="K47" s="398"/>
      <c r="L47" s="398"/>
      <c r="M47" s="398"/>
      <c r="N47" s="398"/>
      <c r="O47" s="398"/>
      <c r="P47" s="398"/>
      <c r="Q47" s="398"/>
      <c r="R47" s="398"/>
      <c r="S47" s="398"/>
      <c r="T47" s="398"/>
    </row>
    <row r="48" spans="1:20" s="28" customFormat="1">
      <c r="A48" s="398"/>
      <c r="B48" s="398"/>
      <c r="C48" s="398"/>
      <c r="D48" s="398"/>
      <c r="E48" s="398"/>
      <c r="F48" s="398"/>
      <c r="G48" s="398"/>
      <c r="H48" s="398"/>
      <c r="I48" s="398"/>
      <c r="J48" s="398"/>
      <c r="K48" s="398"/>
      <c r="L48" s="398"/>
      <c r="M48" s="398"/>
      <c r="N48" s="398"/>
      <c r="O48" s="398"/>
      <c r="P48" s="398"/>
      <c r="Q48" s="398"/>
      <c r="R48" s="398"/>
      <c r="S48" s="398"/>
      <c r="T48" s="398"/>
    </row>
    <row r="49" spans="1:20" s="28" customFormat="1">
      <c r="A49" s="398"/>
      <c r="B49" s="398"/>
      <c r="C49" s="398"/>
      <c r="D49" s="398"/>
      <c r="E49" s="398"/>
      <c r="F49" s="398"/>
      <c r="G49" s="398"/>
      <c r="H49" s="398"/>
      <c r="I49" s="398"/>
      <c r="J49" s="398"/>
      <c r="K49" s="398"/>
      <c r="L49" s="398"/>
      <c r="M49" s="398"/>
      <c r="N49" s="398"/>
      <c r="O49" s="398"/>
      <c r="P49" s="398"/>
      <c r="Q49" s="398"/>
      <c r="R49" s="37" t="s">
        <v>232</v>
      </c>
      <c r="S49" s="270" t="s">
        <v>444</v>
      </c>
      <c r="T49" s="270" t="s">
        <v>445</v>
      </c>
    </row>
    <row r="50" spans="1:20" s="28" customFormat="1">
      <c r="A50" s="398"/>
      <c r="B50" s="398"/>
      <c r="C50" s="398"/>
      <c r="D50" s="398"/>
      <c r="E50" s="398"/>
      <c r="F50" s="398"/>
      <c r="G50" s="398"/>
      <c r="H50" s="398"/>
      <c r="I50" s="398"/>
      <c r="J50" s="398"/>
      <c r="K50" s="398"/>
      <c r="L50" s="398"/>
      <c r="M50" s="398"/>
      <c r="N50" s="398"/>
      <c r="O50" s="398"/>
      <c r="P50" s="398"/>
      <c r="Q50" s="398"/>
      <c r="R50" s="270" t="s">
        <v>10</v>
      </c>
      <c r="S50" s="181" t="s">
        <v>515</v>
      </c>
      <c r="T50" s="181" t="s">
        <v>516</v>
      </c>
    </row>
    <row r="51" spans="1:20" s="28" customFormat="1">
      <c r="A51" s="398"/>
      <c r="B51" s="398"/>
      <c r="C51" s="398"/>
      <c r="D51" s="398"/>
      <c r="E51" s="398"/>
      <c r="F51" s="398"/>
      <c r="G51" s="398"/>
      <c r="H51" s="398"/>
      <c r="I51" s="398"/>
      <c r="J51" s="398"/>
      <c r="K51" s="398"/>
      <c r="L51" s="398"/>
      <c r="M51" s="398"/>
      <c r="N51" s="398"/>
      <c r="O51" s="398"/>
      <c r="P51" s="398"/>
      <c r="Q51" s="398"/>
      <c r="R51" s="270" t="s">
        <v>235</v>
      </c>
      <c r="S51" s="181" t="s">
        <v>517</v>
      </c>
      <c r="T51" s="181" t="str">
        <f>S51</f>
        <v>Hours per Week</v>
      </c>
    </row>
    <row r="52" spans="1:20" s="28" customFormat="1">
      <c r="A52" s="398"/>
      <c r="B52" s="398"/>
      <c r="C52" s="398"/>
      <c r="D52" s="398"/>
      <c r="E52" s="398"/>
      <c r="F52" s="398"/>
      <c r="G52" s="398"/>
      <c r="H52" s="398"/>
      <c r="I52" s="398"/>
      <c r="J52" s="398"/>
      <c r="K52" s="398"/>
      <c r="L52" s="398"/>
      <c r="M52" s="398"/>
      <c r="N52" s="398"/>
      <c r="O52" s="398"/>
      <c r="P52" s="398"/>
      <c r="Q52" s="398"/>
      <c r="R52" s="270" t="s">
        <v>238</v>
      </c>
      <c r="S52" s="181"/>
      <c r="T52" s="181"/>
    </row>
    <row r="53" spans="1:20" s="28" customFormat="1">
      <c r="A53" s="398"/>
      <c r="B53" s="398"/>
      <c r="C53" s="398"/>
      <c r="D53" s="398"/>
      <c r="E53" s="398"/>
      <c r="F53" s="398"/>
      <c r="G53" s="398"/>
      <c r="H53" s="398"/>
      <c r="I53" s="398"/>
      <c r="J53" s="398"/>
      <c r="K53" s="398"/>
      <c r="L53" s="398"/>
      <c r="M53" s="398"/>
      <c r="N53" s="398"/>
      <c r="O53" s="398"/>
      <c r="P53" s="398"/>
      <c r="Q53" s="398"/>
      <c r="R53" s="77" t="s">
        <v>239</v>
      </c>
      <c r="S53" s="181"/>
      <c r="T53" s="181"/>
    </row>
    <row r="54" spans="1:20" s="28" customFormat="1">
      <c r="A54" s="398"/>
      <c r="B54" s="398"/>
      <c r="C54" s="398"/>
      <c r="D54" s="398"/>
      <c r="E54" s="398"/>
      <c r="F54" s="398"/>
      <c r="G54" s="398"/>
      <c r="H54" s="398"/>
      <c r="I54" s="398"/>
      <c r="J54" s="398"/>
      <c r="K54" s="398"/>
      <c r="L54" s="398"/>
      <c r="M54" s="398"/>
      <c r="N54" s="398"/>
      <c r="O54" s="398"/>
      <c r="P54" s="398"/>
      <c r="Q54" s="398"/>
      <c r="R54" s="398"/>
      <c r="S54" s="398"/>
      <c r="T54" s="398"/>
    </row>
    <row r="55" spans="1:20" s="28" customFormat="1">
      <c r="A55" s="398"/>
      <c r="B55" s="398"/>
      <c r="C55" s="398"/>
      <c r="D55" s="398"/>
      <c r="E55" s="398"/>
      <c r="F55" s="398"/>
      <c r="G55" s="398"/>
      <c r="H55" s="398"/>
      <c r="I55" s="398"/>
      <c r="J55" s="398"/>
      <c r="K55" s="398"/>
      <c r="L55" s="398"/>
      <c r="M55" s="398"/>
      <c r="N55" s="398"/>
      <c r="O55" s="398"/>
      <c r="P55" s="398"/>
      <c r="Q55" s="398"/>
      <c r="R55" s="398"/>
      <c r="S55" s="398"/>
      <c r="T55" s="398"/>
    </row>
    <row r="56" spans="1:20" s="28" customFormat="1">
      <c r="A56" s="398"/>
      <c r="B56" s="398"/>
      <c r="C56" s="398"/>
      <c r="D56" s="398"/>
      <c r="E56" s="398"/>
      <c r="F56" s="398"/>
      <c r="G56" s="398"/>
      <c r="H56" s="398"/>
      <c r="I56" s="398"/>
      <c r="J56" s="398"/>
      <c r="K56" s="398"/>
      <c r="L56" s="398"/>
      <c r="M56" s="398"/>
      <c r="N56" s="398"/>
      <c r="O56" s="398"/>
      <c r="P56" s="398"/>
      <c r="Q56" s="398"/>
      <c r="R56" s="398"/>
      <c r="S56" s="398"/>
      <c r="T56" s="398"/>
    </row>
    <row r="57" spans="1:20" s="28" customFormat="1">
      <c r="A57" s="398"/>
      <c r="B57" s="398"/>
      <c r="C57" s="398"/>
      <c r="D57" s="398"/>
      <c r="E57" s="398"/>
      <c r="F57" s="398"/>
      <c r="G57" s="398"/>
      <c r="H57" s="398"/>
      <c r="I57" s="398"/>
      <c r="J57" s="398"/>
      <c r="K57" s="398"/>
      <c r="L57" s="398"/>
      <c r="M57" s="398"/>
      <c r="N57" s="398"/>
      <c r="O57" s="398"/>
      <c r="P57" s="398"/>
      <c r="Q57" s="398"/>
      <c r="R57" s="398"/>
      <c r="S57" s="398"/>
      <c r="T57" s="398"/>
    </row>
    <row r="58" spans="1:20" s="28" customFormat="1">
      <c r="A58" s="398"/>
      <c r="B58" s="398"/>
      <c r="C58" s="398"/>
      <c r="D58" s="398"/>
      <c r="E58" s="398"/>
      <c r="F58" s="398"/>
      <c r="G58" s="398"/>
      <c r="H58" s="398"/>
      <c r="I58" s="398"/>
      <c r="J58" s="398"/>
      <c r="K58" s="398"/>
      <c r="L58" s="398"/>
      <c r="M58" s="398"/>
      <c r="N58" s="398"/>
      <c r="O58" s="398"/>
      <c r="P58" s="398"/>
      <c r="Q58" s="398"/>
      <c r="R58" s="398"/>
      <c r="S58" s="398"/>
      <c r="T58" s="398"/>
    </row>
    <row r="59" spans="1:20" s="28" customFormat="1">
      <c r="A59" s="398"/>
      <c r="B59" s="398"/>
      <c r="C59" s="398"/>
      <c r="D59" s="398"/>
      <c r="E59" s="398"/>
      <c r="F59" s="398"/>
      <c r="G59" s="398"/>
      <c r="H59" s="398"/>
      <c r="I59" s="398"/>
      <c r="J59" s="398"/>
      <c r="K59" s="398"/>
      <c r="L59" s="398"/>
      <c r="M59" s="398"/>
      <c r="N59" s="398"/>
      <c r="O59" s="398"/>
      <c r="P59" s="398"/>
      <c r="Q59" s="398"/>
      <c r="R59" s="398"/>
      <c r="S59" s="398"/>
      <c r="T59" s="398"/>
    </row>
    <row r="60" spans="1:20" s="28" customFormat="1">
      <c r="A60" s="398"/>
      <c r="B60" s="398"/>
      <c r="C60" s="398"/>
      <c r="D60" s="398"/>
      <c r="E60" s="398"/>
      <c r="F60" s="398"/>
      <c r="G60" s="398"/>
      <c r="H60" s="398"/>
      <c r="I60" s="398"/>
      <c r="J60" s="398"/>
      <c r="K60" s="398"/>
      <c r="L60" s="398"/>
      <c r="M60" s="398"/>
      <c r="N60" s="398"/>
      <c r="O60" s="398"/>
      <c r="P60" s="398"/>
      <c r="Q60" s="398"/>
      <c r="R60" s="398"/>
      <c r="S60" s="398"/>
      <c r="T60" s="398"/>
    </row>
    <row r="61" spans="1:20" s="28" customFormat="1">
      <c r="A61" s="398"/>
      <c r="B61" s="398"/>
      <c r="C61" s="398"/>
      <c r="D61" s="398"/>
      <c r="E61" s="398"/>
      <c r="F61" s="398"/>
      <c r="G61" s="398"/>
      <c r="H61" s="398"/>
      <c r="I61" s="398"/>
      <c r="J61" s="398"/>
      <c r="K61" s="398"/>
      <c r="L61" s="398"/>
      <c r="M61" s="398"/>
      <c r="N61" s="398"/>
      <c r="O61" s="398"/>
      <c r="P61" s="398"/>
      <c r="Q61" s="398"/>
      <c r="R61" s="398"/>
      <c r="S61" s="398"/>
      <c r="T61" s="398"/>
    </row>
    <row r="62" spans="1:20" s="28" customFormat="1">
      <c r="A62" s="398"/>
      <c r="B62" s="398"/>
      <c r="C62" s="398"/>
      <c r="D62" s="398"/>
      <c r="E62" s="398"/>
      <c r="F62" s="398"/>
      <c r="G62" s="398"/>
      <c r="H62" s="398"/>
      <c r="I62" s="398"/>
      <c r="J62" s="398"/>
      <c r="K62" s="398"/>
      <c r="L62" s="398"/>
      <c r="M62" s="398"/>
      <c r="N62" s="398"/>
      <c r="O62" s="398"/>
      <c r="P62" s="398"/>
      <c r="Q62" s="398"/>
      <c r="R62" s="398"/>
      <c r="S62" s="398"/>
      <c r="T62" s="398"/>
    </row>
    <row r="63" spans="1:20" s="28" customFormat="1">
      <c r="A63" s="398"/>
      <c r="B63" s="398"/>
      <c r="C63" s="398"/>
      <c r="D63" s="398"/>
      <c r="E63" s="398"/>
      <c r="F63" s="398"/>
      <c r="G63" s="398"/>
      <c r="H63" s="398"/>
      <c r="I63" s="398"/>
      <c r="J63" s="398"/>
      <c r="K63" s="398"/>
      <c r="L63" s="398"/>
      <c r="M63" s="398"/>
      <c r="N63" s="398"/>
      <c r="O63" s="398"/>
      <c r="P63" s="398"/>
      <c r="Q63" s="398"/>
      <c r="R63" s="398"/>
      <c r="S63" s="398"/>
      <c r="T63" s="398"/>
    </row>
    <row r="64" spans="1:20" s="28" customFormat="1">
      <c r="A64" s="398"/>
      <c r="B64" s="398"/>
      <c r="C64" s="398"/>
      <c r="D64" s="398"/>
      <c r="E64" s="398"/>
      <c r="F64" s="398"/>
      <c r="G64" s="398"/>
      <c r="H64" s="398"/>
      <c r="I64" s="398"/>
      <c r="J64" s="398"/>
      <c r="K64" s="398"/>
      <c r="L64" s="398"/>
      <c r="M64" s="398"/>
      <c r="N64" s="398"/>
      <c r="O64" s="398"/>
      <c r="P64" s="398"/>
      <c r="Q64" s="398"/>
      <c r="R64" s="398"/>
      <c r="S64" s="398"/>
      <c r="T64" s="398"/>
    </row>
    <row r="65" spans="1:20" s="28" customFormat="1">
      <c r="A65" s="398"/>
      <c r="B65" s="398"/>
      <c r="C65" s="398"/>
      <c r="D65" s="398"/>
      <c r="E65" s="398"/>
      <c r="F65" s="398"/>
      <c r="G65" s="398"/>
      <c r="H65" s="398"/>
      <c r="I65" s="398"/>
      <c r="J65" s="398"/>
      <c r="K65" s="398"/>
      <c r="L65" s="398"/>
      <c r="M65" s="398"/>
      <c r="N65" s="398"/>
      <c r="O65" s="398"/>
      <c r="P65" s="398"/>
      <c r="Q65" s="398"/>
      <c r="R65" s="398"/>
      <c r="S65" s="398"/>
      <c r="T65" s="398"/>
    </row>
    <row r="66" spans="1:20" s="28" customFormat="1">
      <c r="A66" s="398"/>
      <c r="B66" s="398"/>
      <c r="C66" s="398"/>
      <c r="D66" s="398"/>
      <c r="E66" s="398"/>
      <c r="F66" s="398"/>
      <c r="G66" s="398"/>
      <c r="H66" s="398"/>
      <c r="I66" s="398"/>
      <c r="J66" s="398"/>
      <c r="K66" s="398"/>
      <c r="L66" s="398"/>
      <c r="M66" s="398"/>
      <c r="N66" s="398"/>
      <c r="O66" s="398"/>
      <c r="P66" s="398"/>
      <c r="Q66" s="398"/>
      <c r="R66" s="398"/>
      <c r="S66" s="398"/>
      <c r="T66" s="398"/>
    </row>
    <row r="67" spans="1:20" s="28" customFormat="1">
      <c r="A67" s="398"/>
      <c r="B67" s="398"/>
      <c r="C67" s="398"/>
      <c r="D67" s="398"/>
      <c r="E67" s="398"/>
      <c r="F67" s="398"/>
      <c r="G67" s="398"/>
      <c r="H67" s="398"/>
      <c r="I67" s="398"/>
      <c r="J67" s="398"/>
      <c r="K67" s="398"/>
      <c r="L67" s="398"/>
      <c r="M67" s="398"/>
      <c r="N67" s="398"/>
      <c r="O67" s="398"/>
      <c r="P67" s="398"/>
      <c r="Q67" s="398"/>
      <c r="R67" s="398"/>
      <c r="S67" s="398"/>
      <c r="T67" s="398"/>
    </row>
    <row r="68" spans="1:20" s="28" customFormat="1">
      <c r="A68" s="398"/>
      <c r="B68" s="398"/>
      <c r="C68" s="398"/>
      <c r="D68" s="398"/>
      <c r="E68" s="398"/>
      <c r="F68" s="398"/>
      <c r="G68" s="398"/>
      <c r="H68" s="398"/>
      <c r="I68" s="398"/>
      <c r="J68" s="398"/>
      <c r="K68" s="398"/>
      <c r="L68" s="398"/>
      <c r="M68" s="398"/>
      <c r="N68" s="398"/>
      <c r="O68" s="398"/>
      <c r="P68" s="398"/>
      <c r="Q68" s="398"/>
      <c r="R68" s="398"/>
      <c r="S68" s="398"/>
      <c r="T68" s="398"/>
    </row>
    <row r="69" spans="1:20" s="28" customFormat="1">
      <c r="A69" s="398"/>
      <c r="B69" s="398"/>
      <c r="C69" s="398"/>
      <c r="D69" s="398"/>
      <c r="E69" s="398"/>
      <c r="F69" s="398"/>
      <c r="G69" s="398"/>
      <c r="H69" s="398"/>
      <c r="I69" s="398"/>
      <c r="J69" s="398"/>
      <c r="K69" s="398"/>
      <c r="L69" s="398"/>
      <c r="M69" s="398"/>
      <c r="N69" s="398"/>
      <c r="O69" s="398"/>
      <c r="P69" s="398"/>
      <c r="Q69" s="398"/>
      <c r="R69" s="398"/>
      <c r="S69" s="398"/>
      <c r="T69" s="398"/>
    </row>
    <row r="70" spans="1:20" s="28" customFormat="1">
      <c r="A70" s="398"/>
      <c r="B70" s="398"/>
      <c r="C70" s="398"/>
      <c r="D70" s="398"/>
      <c r="E70" s="398"/>
      <c r="F70" s="398"/>
      <c r="G70" s="398"/>
      <c r="H70" s="398"/>
      <c r="I70" s="398"/>
      <c r="J70" s="398"/>
      <c r="K70" s="398"/>
      <c r="L70" s="398"/>
      <c r="M70" s="398"/>
      <c r="N70" s="398"/>
      <c r="O70" s="398"/>
      <c r="P70" s="398"/>
      <c r="Q70" s="398"/>
      <c r="R70" s="398"/>
      <c r="S70" s="398"/>
      <c r="T70" s="398"/>
    </row>
    <row r="71" spans="1:20" s="28" customFormat="1">
      <c r="A71" s="398"/>
      <c r="B71" s="398"/>
      <c r="C71" s="398"/>
      <c r="D71" s="398"/>
      <c r="E71" s="398"/>
      <c r="F71" s="398"/>
      <c r="G71" s="398"/>
      <c r="H71" s="398"/>
      <c r="I71" s="398"/>
      <c r="J71" s="398"/>
      <c r="K71" s="398"/>
      <c r="L71" s="398"/>
      <c r="M71" s="398"/>
      <c r="N71" s="398"/>
      <c r="O71" s="398"/>
      <c r="P71" s="398"/>
      <c r="Q71" s="398"/>
      <c r="R71" s="37" t="s">
        <v>232</v>
      </c>
      <c r="S71" s="270"/>
      <c r="T71" s="270"/>
    </row>
    <row r="72" spans="1:20" s="28" customFormat="1">
      <c r="A72" s="398"/>
      <c r="B72" s="398"/>
      <c r="C72" s="398"/>
      <c r="D72" s="398"/>
      <c r="E72" s="398"/>
      <c r="F72" s="398"/>
      <c r="G72" s="398"/>
      <c r="H72" s="398"/>
      <c r="I72" s="398"/>
      <c r="J72" s="398"/>
      <c r="K72" s="398"/>
      <c r="L72" s="398"/>
      <c r="M72" s="398"/>
      <c r="N72" s="398"/>
      <c r="O72" s="398"/>
      <c r="P72" s="398"/>
      <c r="Q72" s="398"/>
      <c r="R72" s="270" t="s">
        <v>10</v>
      </c>
      <c r="S72" s="181" t="s">
        <v>518</v>
      </c>
      <c r="T72" s="181" t="s">
        <v>519</v>
      </c>
    </row>
    <row r="73" spans="1:20" s="28" customFormat="1">
      <c r="A73" s="398"/>
      <c r="B73" s="398"/>
      <c r="C73" s="398"/>
      <c r="D73" s="398"/>
      <c r="E73" s="398"/>
      <c r="F73" s="398"/>
      <c r="G73" s="398"/>
      <c r="H73" s="398"/>
      <c r="I73" s="398"/>
      <c r="J73" s="398"/>
      <c r="K73" s="398"/>
      <c r="L73" s="398"/>
      <c r="M73" s="398"/>
      <c r="N73" s="398"/>
      <c r="O73" s="398"/>
      <c r="P73" s="398"/>
      <c r="Q73" s="398"/>
      <c r="R73" s="270" t="s">
        <v>235</v>
      </c>
      <c r="S73" s="181" t="str">
        <f>S51</f>
        <v>Hours per Week</v>
      </c>
      <c r="T73" s="181" t="str">
        <f>S73</f>
        <v>Hours per Week</v>
      </c>
    </row>
    <row r="74" spans="1:20" s="28" customFormat="1">
      <c r="A74" s="398"/>
      <c r="B74" s="398"/>
      <c r="C74" s="398"/>
      <c r="D74" s="398"/>
      <c r="E74" s="398"/>
      <c r="F74" s="398"/>
      <c r="G74" s="398"/>
      <c r="H74" s="398"/>
      <c r="I74" s="398"/>
      <c r="J74" s="398"/>
      <c r="K74" s="398"/>
      <c r="L74" s="398"/>
      <c r="M74" s="398"/>
      <c r="N74" s="398"/>
      <c r="O74" s="398"/>
      <c r="P74" s="398"/>
      <c r="Q74" s="398"/>
      <c r="R74" s="270" t="s">
        <v>238</v>
      </c>
      <c r="S74" s="181"/>
      <c r="T74" s="181"/>
    </row>
    <row r="75" spans="1:20" s="28" customFormat="1">
      <c r="A75" s="398"/>
      <c r="B75" s="398"/>
      <c r="C75" s="398"/>
      <c r="D75" s="398"/>
      <c r="E75" s="398"/>
      <c r="F75" s="398"/>
      <c r="G75" s="398"/>
      <c r="H75" s="398"/>
      <c r="I75" s="398"/>
      <c r="J75" s="398"/>
      <c r="K75" s="398"/>
      <c r="L75" s="398"/>
      <c r="M75" s="398"/>
      <c r="N75" s="398"/>
      <c r="O75" s="398"/>
      <c r="P75" s="398"/>
      <c r="Q75" s="398"/>
      <c r="R75" s="77" t="s">
        <v>239</v>
      </c>
      <c r="S75" s="181"/>
      <c r="T75" s="181"/>
    </row>
    <row r="76" spans="1:20" s="28" customFormat="1">
      <c r="A76" s="398"/>
      <c r="B76" s="398"/>
      <c r="C76" s="398"/>
      <c r="D76" s="398"/>
      <c r="E76" s="398"/>
      <c r="F76" s="398"/>
      <c r="G76" s="398"/>
      <c r="H76" s="398"/>
      <c r="I76" s="398"/>
      <c r="J76" s="398"/>
      <c r="K76" s="398"/>
      <c r="L76" s="398"/>
      <c r="M76" s="398"/>
      <c r="N76" s="398"/>
      <c r="O76" s="398"/>
      <c r="P76" s="398"/>
      <c r="Q76" s="398"/>
      <c r="R76" s="398"/>
      <c r="S76" s="398"/>
      <c r="T76" s="398"/>
    </row>
    <row r="77" spans="1:20" s="28" customFormat="1">
      <c r="A77" s="398"/>
      <c r="B77" s="398"/>
      <c r="C77" s="398"/>
      <c r="D77" s="398"/>
      <c r="E77" s="398"/>
      <c r="F77" s="398"/>
      <c r="G77" s="398"/>
      <c r="H77" s="398"/>
      <c r="I77" s="398"/>
      <c r="J77" s="398"/>
      <c r="K77" s="398"/>
      <c r="L77" s="398"/>
      <c r="M77" s="398"/>
      <c r="N77" s="398"/>
      <c r="O77" s="398"/>
      <c r="P77" s="398"/>
      <c r="Q77" s="398"/>
      <c r="R77" s="398"/>
      <c r="S77" s="398"/>
      <c r="T77" s="398"/>
    </row>
    <row r="78" spans="1:20" s="28" customFormat="1">
      <c r="A78" s="398"/>
      <c r="B78" s="398"/>
      <c r="C78" s="398"/>
      <c r="D78" s="398"/>
      <c r="E78" s="398"/>
      <c r="F78" s="398"/>
      <c r="G78" s="398"/>
      <c r="H78" s="398"/>
      <c r="I78" s="398"/>
      <c r="J78" s="398"/>
      <c r="K78" s="398"/>
      <c r="L78" s="398"/>
      <c r="M78" s="398"/>
      <c r="N78" s="398"/>
      <c r="O78" s="398"/>
      <c r="P78" s="398"/>
      <c r="Q78" s="398"/>
      <c r="R78" s="398"/>
      <c r="S78" s="398"/>
      <c r="T78" s="398"/>
    </row>
    <row r="79" spans="1:20" s="28" customFormat="1">
      <c r="A79" s="398"/>
      <c r="B79" s="398"/>
      <c r="C79" s="398"/>
      <c r="D79" s="398"/>
      <c r="E79" s="398"/>
      <c r="F79" s="398"/>
      <c r="G79" s="398"/>
      <c r="H79" s="398"/>
      <c r="I79" s="398"/>
      <c r="J79" s="398"/>
      <c r="K79" s="398"/>
      <c r="L79" s="398"/>
      <c r="M79" s="398"/>
      <c r="N79" s="398"/>
      <c r="O79" s="398"/>
      <c r="P79" s="398"/>
      <c r="Q79" s="398"/>
      <c r="R79" s="398"/>
      <c r="S79" s="398"/>
      <c r="T79" s="398"/>
    </row>
    <row r="80" spans="1:20" s="28" customFormat="1">
      <c r="A80" s="398"/>
      <c r="B80" s="398"/>
      <c r="C80" s="398"/>
      <c r="D80" s="398"/>
      <c r="E80" s="398"/>
      <c r="F80" s="398"/>
      <c r="G80" s="398"/>
      <c r="H80" s="398"/>
      <c r="I80" s="398"/>
      <c r="J80" s="398"/>
      <c r="K80" s="398"/>
      <c r="L80" s="398"/>
      <c r="M80" s="398"/>
      <c r="N80" s="398"/>
      <c r="O80" s="398"/>
      <c r="P80" s="398"/>
      <c r="Q80" s="398"/>
      <c r="R80" s="398"/>
      <c r="S80" s="398"/>
      <c r="T80" s="398"/>
    </row>
    <row r="81" spans="1:20" s="28" customFormat="1">
      <c r="A81" s="398"/>
      <c r="B81" s="398"/>
      <c r="C81" s="398"/>
      <c r="D81" s="398"/>
      <c r="E81" s="398"/>
      <c r="F81" s="398"/>
      <c r="G81" s="398"/>
      <c r="H81" s="398"/>
      <c r="I81" s="398"/>
      <c r="J81" s="398"/>
      <c r="K81" s="398"/>
      <c r="L81" s="398"/>
      <c r="M81" s="398"/>
      <c r="N81" s="398"/>
      <c r="O81" s="398"/>
      <c r="P81" s="398"/>
      <c r="Q81" s="398"/>
      <c r="R81" s="398"/>
      <c r="S81" s="398"/>
      <c r="T81" s="398"/>
    </row>
    <row r="82" spans="1:20" s="28" customFormat="1">
      <c r="A82" s="398"/>
      <c r="B82" s="398"/>
      <c r="C82" s="398"/>
      <c r="D82" s="398"/>
      <c r="E82" s="398"/>
      <c r="F82" s="398"/>
      <c r="G82" s="398"/>
      <c r="H82" s="398"/>
      <c r="I82" s="398"/>
      <c r="J82" s="398"/>
      <c r="K82" s="398"/>
      <c r="L82" s="398"/>
      <c r="M82" s="398"/>
      <c r="N82" s="398"/>
      <c r="O82" s="398"/>
      <c r="P82" s="398"/>
      <c r="Q82" s="398"/>
      <c r="R82" s="398"/>
      <c r="S82" s="398"/>
      <c r="T82" s="398"/>
    </row>
    <row r="83" spans="1:20" s="28" customFormat="1">
      <c r="A83" s="398"/>
      <c r="B83" s="398"/>
      <c r="C83" s="398"/>
      <c r="D83" s="398"/>
      <c r="E83" s="398"/>
      <c r="F83" s="398"/>
      <c r="G83" s="398"/>
      <c r="H83" s="398"/>
      <c r="I83" s="398"/>
      <c r="J83" s="398"/>
      <c r="K83" s="398"/>
      <c r="L83" s="398"/>
      <c r="M83" s="398"/>
      <c r="N83" s="398"/>
      <c r="O83" s="398"/>
      <c r="P83" s="398"/>
      <c r="Q83" s="398"/>
      <c r="R83" s="398"/>
      <c r="S83" s="398"/>
      <c r="T83" s="398"/>
    </row>
    <row r="84" spans="1:20" s="28" customFormat="1">
      <c r="A84" s="398"/>
      <c r="B84" s="398"/>
      <c r="C84" s="398"/>
      <c r="D84" s="398"/>
      <c r="E84" s="398"/>
      <c r="F84" s="398"/>
      <c r="G84" s="398"/>
      <c r="H84" s="398"/>
      <c r="I84" s="398"/>
      <c r="J84" s="398"/>
      <c r="K84" s="398"/>
      <c r="L84" s="398"/>
      <c r="M84" s="398"/>
      <c r="N84" s="398"/>
      <c r="O84" s="398"/>
      <c r="P84" s="398"/>
      <c r="Q84" s="398"/>
      <c r="R84" s="398"/>
      <c r="S84" s="398"/>
      <c r="T84" s="398"/>
    </row>
    <row r="85" spans="1:20" s="28" customFormat="1">
      <c r="A85" s="398"/>
      <c r="B85" s="398"/>
      <c r="C85" s="398"/>
      <c r="D85" s="398"/>
      <c r="E85" s="398"/>
      <c r="F85" s="398"/>
      <c r="G85" s="398"/>
      <c r="H85" s="398"/>
      <c r="I85" s="398"/>
      <c r="J85" s="398"/>
      <c r="K85" s="398"/>
      <c r="L85" s="398"/>
      <c r="M85" s="398"/>
      <c r="N85" s="398"/>
      <c r="O85" s="398"/>
      <c r="P85" s="398"/>
      <c r="Q85" s="398"/>
      <c r="R85" s="398"/>
      <c r="S85" s="398"/>
      <c r="T85" s="398"/>
    </row>
    <row r="86" spans="1:20" s="28" customFormat="1">
      <c r="A86" s="398"/>
      <c r="B86" s="398"/>
      <c r="C86" s="398"/>
      <c r="D86" s="398"/>
      <c r="E86" s="398"/>
      <c r="F86" s="398"/>
      <c r="G86" s="398"/>
      <c r="H86" s="398"/>
      <c r="I86" s="398"/>
      <c r="J86" s="398"/>
      <c r="K86" s="398"/>
      <c r="L86" s="398"/>
      <c r="M86" s="398"/>
      <c r="N86" s="398"/>
      <c r="O86" s="398"/>
      <c r="P86" s="398"/>
      <c r="Q86" s="398"/>
      <c r="R86" s="398"/>
      <c r="S86" s="398"/>
      <c r="T86" s="398"/>
    </row>
    <row r="87" spans="1:20" s="28" customFormat="1">
      <c r="A87" s="398"/>
      <c r="B87" s="398"/>
      <c r="C87" s="398"/>
      <c r="D87" s="398"/>
      <c r="E87" s="398"/>
      <c r="F87" s="398"/>
      <c r="G87" s="398"/>
      <c r="H87" s="398"/>
      <c r="I87" s="398"/>
      <c r="J87" s="398"/>
      <c r="K87" s="398"/>
      <c r="L87" s="398"/>
      <c r="M87" s="398"/>
      <c r="N87" s="398"/>
      <c r="O87" s="398"/>
      <c r="P87" s="398"/>
      <c r="Q87" s="398"/>
      <c r="R87" s="398"/>
      <c r="S87" s="398"/>
      <c r="T87" s="398"/>
    </row>
    <row r="88" spans="1:20" s="28" customFormat="1">
      <c r="A88" s="398"/>
      <c r="B88" s="398"/>
      <c r="C88" s="398"/>
      <c r="D88" s="398"/>
      <c r="E88" s="398"/>
      <c r="F88" s="398"/>
      <c r="G88" s="398"/>
      <c r="H88" s="398"/>
      <c r="I88" s="398"/>
      <c r="J88" s="398"/>
      <c r="K88" s="398"/>
      <c r="L88" s="398"/>
      <c r="M88" s="398"/>
      <c r="N88" s="398"/>
      <c r="O88" s="398"/>
      <c r="P88" s="398"/>
      <c r="Q88" s="398"/>
      <c r="R88" s="398"/>
      <c r="S88" s="398"/>
      <c r="T88" s="398"/>
    </row>
    <row r="89" spans="1:20" s="28" customFormat="1">
      <c r="A89" s="398"/>
      <c r="B89" s="398"/>
      <c r="C89" s="398"/>
      <c r="D89" s="398"/>
      <c r="E89" s="398"/>
      <c r="F89" s="398"/>
      <c r="G89" s="398"/>
      <c r="H89" s="398"/>
      <c r="I89" s="398"/>
      <c r="J89" s="398"/>
      <c r="K89" s="398"/>
      <c r="L89" s="398"/>
      <c r="M89" s="398"/>
      <c r="N89" s="398"/>
      <c r="O89" s="398"/>
      <c r="P89" s="398"/>
      <c r="Q89" s="398"/>
      <c r="R89" s="398"/>
      <c r="S89" s="398"/>
      <c r="T89" s="398"/>
    </row>
    <row r="90" spans="1:20" s="28" customFormat="1">
      <c r="A90" s="398"/>
      <c r="B90" s="398"/>
      <c r="C90" s="398"/>
      <c r="D90" s="398"/>
      <c r="E90" s="398"/>
      <c r="F90" s="398"/>
      <c r="G90" s="398"/>
      <c r="H90" s="398"/>
      <c r="I90" s="398"/>
      <c r="J90" s="398"/>
      <c r="K90" s="398"/>
      <c r="L90" s="398"/>
      <c r="M90" s="398"/>
      <c r="N90" s="398"/>
      <c r="O90" s="398"/>
      <c r="P90" s="398"/>
      <c r="Q90" s="398"/>
      <c r="R90" s="398"/>
      <c r="S90" s="398"/>
      <c r="T90" s="398"/>
    </row>
    <row r="91" spans="1:20" s="28" customFormat="1" ht="22.5">
      <c r="A91" s="3" t="s">
        <v>520</v>
      </c>
      <c r="B91" s="398"/>
      <c r="C91" s="398"/>
      <c r="D91" s="398"/>
      <c r="E91" s="398"/>
      <c r="F91" s="398"/>
      <c r="G91" s="398"/>
      <c r="H91" s="398"/>
      <c r="I91" s="398"/>
      <c r="J91" s="398"/>
      <c r="K91" s="398"/>
      <c r="L91" s="398"/>
      <c r="M91" s="398"/>
      <c r="N91" s="398"/>
      <c r="O91" s="398"/>
      <c r="P91" s="398"/>
      <c r="Q91" s="398"/>
      <c r="R91" s="398"/>
      <c r="S91" s="398"/>
      <c r="T91" s="398"/>
    </row>
    <row r="92" spans="1:20" s="31" customFormat="1" ht="80.25" customHeight="1">
      <c r="A92" s="3"/>
      <c r="B92" s="764" t="s">
        <v>521</v>
      </c>
      <c r="C92" s="764"/>
      <c r="D92" s="764"/>
      <c r="E92" s="764"/>
      <c r="F92" s="764"/>
      <c r="G92" s="764"/>
      <c r="H92" s="764"/>
      <c r="I92" s="764"/>
      <c r="J92" s="764"/>
      <c r="K92" s="764"/>
      <c r="L92" s="764"/>
      <c r="M92" s="764"/>
      <c r="N92" s="764"/>
      <c r="O92" s="764"/>
      <c r="P92" s="764"/>
      <c r="Q92" s="398"/>
      <c r="R92" s="398"/>
      <c r="S92" s="398"/>
      <c r="T92" s="398"/>
    </row>
    <row r="93" spans="1:20" ht="15" customHeight="1">
      <c r="A93" s="398"/>
      <c r="B93" s="6" t="str">
        <f>C22</f>
        <v>Individual Computing</v>
      </c>
      <c r="C93" s="398"/>
      <c r="D93" s="398"/>
      <c r="E93" s="841" t="s">
        <v>522</v>
      </c>
      <c r="F93" s="855"/>
      <c r="G93" s="835" t="s">
        <v>523</v>
      </c>
      <c r="H93" s="855"/>
      <c r="I93" s="782" t="s">
        <v>524</v>
      </c>
      <c r="J93" s="835" t="s">
        <v>525</v>
      </c>
      <c r="K93" s="783"/>
      <c r="L93" s="398"/>
      <c r="M93" s="398"/>
      <c r="N93" s="398"/>
      <c r="O93" s="398"/>
      <c r="P93" s="398"/>
      <c r="Q93" s="398"/>
      <c r="R93" s="398"/>
      <c r="S93" s="398"/>
      <c r="T93" s="398"/>
    </row>
    <row r="94" spans="1:20" ht="25.5">
      <c r="A94" s="398"/>
      <c r="B94" s="398"/>
      <c r="C94" s="398"/>
      <c r="D94" s="680" t="s">
        <v>526</v>
      </c>
      <c r="E94" s="680" t="s">
        <v>527</v>
      </c>
      <c r="F94" s="671" t="s">
        <v>528</v>
      </c>
      <c r="G94" s="223" t="str">
        <f>E94</f>
        <v>Info Wrkr</v>
      </c>
      <c r="H94" s="671" t="s">
        <v>528</v>
      </c>
      <c r="I94" s="856"/>
      <c r="J94" s="694" t="str">
        <f>$E$94</f>
        <v>Info Wrkr</v>
      </c>
      <c r="K94" s="671" t="str">
        <f>$F$94</f>
        <v>Task Wrkr</v>
      </c>
      <c r="L94" s="835" t="str">
        <f>$L$13</f>
        <v>Comments</v>
      </c>
      <c r="M94" s="835"/>
      <c r="N94" s="835"/>
      <c r="O94" s="835"/>
      <c r="P94" s="835"/>
      <c r="Q94" s="398"/>
      <c r="R94" s="398"/>
      <c r="S94" s="398"/>
      <c r="T94" s="398"/>
    </row>
    <row r="95" spans="1:20" ht="15" thickBot="1">
      <c r="A95" s="398"/>
      <c r="B95" s="398"/>
      <c r="C95" s="30" t="s">
        <v>529</v>
      </c>
      <c r="D95" s="398"/>
      <c r="E95" s="398"/>
      <c r="F95" s="398"/>
      <c r="G95" s="398"/>
      <c r="H95" s="398"/>
      <c r="I95" s="398"/>
      <c r="J95" s="398"/>
      <c r="K95" s="398"/>
      <c r="L95" s="398"/>
      <c r="M95" s="8"/>
      <c r="N95" s="398"/>
      <c r="O95" s="398"/>
      <c r="P95" s="398"/>
      <c r="Q95" s="270"/>
      <c r="R95" s="398"/>
      <c r="S95" s="398"/>
      <c r="T95" s="398"/>
    </row>
    <row r="96" spans="1:20">
      <c r="A96" s="398"/>
      <c r="B96" s="398"/>
      <c r="C96" s="398"/>
      <c r="D96" s="163" t="s">
        <v>530</v>
      </c>
      <c r="E96" s="673">
        <v>0.05</v>
      </c>
      <c r="F96" s="475">
        <v>0.05</v>
      </c>
      <c r="G96" s="159">
        <f t="shared" ref="G96:H100" si="4">E96*G$23</f>
        <v>0.14030769230769233</v>
      </c>
      <c r="H96" s="160">
        <f t="shared" si="4"/>
        <v>0.14732307692307692</v>
      </c>
      <c r="I96" s="444">
        <f>Test!$E$89*10%</f>
        <v>0</v>
      </c>
      <c r="J96" s="159">
        <f t="shared" ref="J96:K100" si="5">$I96*G96</f>
        <v>0</v>
      </c>
      <c r="K96" s="160">
        <f t="shared" si="5"/>
        <v>0</v>
      </c>
      <c r="L96" s="857"/>
      <c r="M96" s="850"/>
      <c r="N96" s="850"/>
      <c r="O96" s="850"/>
      <c r="P96" s="851"/>
      <c r="Q96" s="398"/>
      <c r="R96" s="398"/>
      <c r="S96" s="398"/>
      <c r="T96" s="398"/>
    </row>
    <row r="97" spans="1:20">
      <c r="A97" s="398"/>
      <c r="B97" s="398"/>
      <c r="C97" s="398"/>
      <c r="D97" s="163" t="s">
        <v>531</v>
      </c>
      <c r="E97" s="674">
        <v>0.2</v>
      </c>
      <c r="F97" s="477">
        <v>0.15</v>
      </c>
      <c r="G97" s="159">
        <f t="shared" si="4"/>
        <v>0.56123076923076931</v>
      </c>
      <c r="H97" s="160">
        <f t="shared" si="4"/>
        <v>0.44196923076923073</v>
      </c>
      <c r="I97" s="492">
        <f>Test!$E$89*35%</f>
        <v>0</v>
      </c>
      <c r="J97" s="159">
        <f t="shared" si="5"/>
        <v>0</v>
      </c>
      <c r="K97" s="160">
        <f t="shared" si="5"/>
        <v>0</v>
      </c>
      <c r="L97" s="857"/>
      <c r="M97" s="850"/>
      <c r="N97" s="850"/>
      <c r="O97" s="850"/>
      <c r="P97" s="851"/>
      <c r="Q97" s="398"/>
      <c r="R97" s="398"/>
      <c r="S97" s="398"/>
      <c r="T97" s="398"/>
    </row>
    <row r="98" spans="1:20">
      <c r="A98" s="398"/>
      <c r="B98" s="398"/>
      <c r="C98" s="398"/>
      <c r="D98" s="163" t="s">
        <v>532</v>
      </c>
      <c r="E98" s="674">
        <v>0.1</v>
      </c>
      <c r="F98" s="477">
        <v>0.05</v>
      </c>
      <c r="G98" s="159">
        <f t="shared" si="4"/>
        <v>0.28061538461538466</v>
      </c>
      <c r="H98" s="160">
        <f t="shared" si="4"/>
        <v>0.14732307692307692</v>
      </c>
      <c r="I98" s="492">
        <f>Test!$E$89*25%</f>
        <v>0</v>
      </c>
      <c r="J98" s="159">
        <f t="shared" si="5"/>
        <v>0</v>
      </c>
      <c r="K98" s="160">
        <f t="shared" si="5"/>
        <v>0</v>
      </c>
      <c r="L98" s="857"/>
      <c r="M98" s="850"/>
      <c r="N98" s="850"/>
      <c r="O98" s="850"/>
      <c r="P98" s="851"/>
      <c r="Q98" s="398"/>
      <c r="R98" s="398"/>
      <c r="S98" s="398"/>
      <c r="T98" s="398"/>
    </row>
    <row r="99" spans="1:20" ht="13.5" thickBot="1">
      <c r="A99" s="398"/>
      <c r="B99" s="398"/>
      <c r="C99" s="398"/>
      <c r="D99" s="163" t="s">
        <v>533</v>
      </c>
      <c r="E99" s="668">
        <v>0.1</v>
      </c>
      <c r="F99" s="478">
        <v>0.1</v>
      </c>
      <c r="G99" s="159">
        <f t="shared" si="4"/>
        <v>0.28061538461538466</v>
      </c>
      <c r="H99" s="160">
        <f t="shared" si="4"/>
        <v>0.29464615384615384</v>
      </c>
      <c r="I99" s="492">
        <f>Test!$E$89*30%</f>
        <v>0</v>
      </c>
      <c r="J99" s="159">
        <f t="shared" si="5"/>
        <v>0</v>
      </c>
      <c r="K99" s="160">
        <f t="shared" si="5"/>
        <v>0</v>
      </c>
      <c r="L99" s="857"/>
      <c r="M99" s="850"/>
      <c r="N99" s="850"/>
      <c r="O99" s="850"/>
      <c r="P99" s="851"/>
      <c r="Q99" s="398"/>
      <c r="R99" s="398"/>
      <c r="S99" s="398"/>
      <c r="T99" s="398"/>
    </row>
    <row r="100" spans="1:20" ht="13.5" thickBot="1">
      <c r="A100" s="398"/>
      <c r="B100" s="398"/>
      <c r="C100" s="398"/>
      <c r="D100" s="240" t="s">
        <v>534</v>
      </c>
      <c r="E100" s="238">
        <f>1-SUM(E96:E99)</f>
        <v>0.55000000000000004</v>
      </c>
      <c r="F100" s="141">
        <f>1-SUM(F96:F99)</f>
        <v>0.65</v>
      </c>
      <c r="G100" s="161">
        <f t="shared" si="4"/>
        <v>1.5433846153846158</v>
      </c>
      <c r="H100" s="162">
        <f t="shared" si="4"/>
        <v>1.9152</v>
      </c>
      <c r="I100" s="488">
        <f>Test!$E$89*3%</f>
        <v>0</v>
      </c>
      <c r="J100" s="161">
        <f t="shared" si="5"/>
        <v>0</v>
      </c>
      <c r="K100" s="162">
        <f t="shared" si="5"/>
        <v>0</v>
      </c>
      <c r="L100" s="857"/>
      <c r="M100" s="850"/>
      <c r="N100" s="850"/>
      <c r="O100" s="850"/>
      <c r="P100" s="851"/>
      <c r="Q100" s="398"/>
      <c r="R100" s="398"/>
      <c r="S100" s="398"/>
      <c r="T100" s="398"/>
    </row>
    <row r="101" spans="1:20" s="28" customFormat="1" ht="14.25" thickTop="1" thickBot="1">
      <c r="A101" s="398"/>
      <c r="B101" s="398"/>
      <c r="C101" s="398"/>
      <c r="D101" s="702" t="s">
        <v>535</v>
      </c>
      <c r="E101" s="168">
        <f>SUM(E96:E100)</f>
        <v>1</v>
      </c>
      <c r="F101" s="425">
        <f>SUM(F96:F100)</f>
        <v>1</v>
      </c>
      <c r="G101" s="428">
        <f>SUM(G96:G100)</f>
        <v>2.8061538461538467</v>
      </c>
      <c r="H101" s="429">
        <f>SUM(H96:H100)</f>
        <v>2.9464615384615387</v>
      </c>
      <c r="I101" s="440">
        <f>IWMix*(J101/G101)+TWMix*(K101/H101)</f>
        <v>0</v>
      </c>
      <c r="J101" s="431">
        <f>SUM(J96:J100)</f>
        <v>0</v>
      </c>
      <c r="K101" s="432">
        <f>SUM(K96:K100)</f>
        <v>0</v>
      </c>
      <c r="L101" s="858"/>
      <c r="M101" s="853"/>
      <c r="N101" s="853"/>
      <c r="O101" s="853"/>
      <c r="P101" s="854"/>
      <c r="Q101" s="398"/>
      <c r="R101" s="398"/>
      <c r="S101" s="398"/>
      <c r="T101" s="398"/>
    </row>
    <row r="102" spans="1:20" customFormat="1" ht="4.5" customHeight="1">
      <c r="A102" s="398"/>
      <c r="B102" s="398"/>
      <c r="C102" s="398"/>
      <c r="D102" s="398"/>
      <c r="E102" s="398"/>
      <c r="F102" s="398"/>
      <c r="G102" s="398"/>
      <c r="H102" s="398"/>
      <c r="I102" s="398"/>
      <c r="J102" s="398"/>
      <c r="K102" s="398"/>
      <c r="L102" s="398"/>
      <c r="M102" s="398"/>
      <c r="N102" s="398"/>
      <c r="O102" s="398"/>
      <c r="P102" s="398"/>
      <c r="Q102" s="398"/>
      <c r="R102" s="398"/>
      <c r="S102" s="398"/>
      <c r="T102" s="398"/>
    </row>
    <row r="103" spans="1:20" s="17" customFormat="1" ht="15" thickBot="1">
      <c r="A103" s="398"/>
      <c r="B103" s="398"/>
      <c r="C103" s="30" t="s">
        <v>536</v>
      </c>
      <c r="D103" s="398"/>
      <c r="E103" s="398"/>
      <c r="F103" s="398"/>
      <c r="G103" s="398"/>
      <c r="H103" s="398"/>
      <c r="I103" s="398"/>
      <c r="J103" s="398"/>
      <c r="K103" s="398"/>
      <c r="L103" s="639"/>
      <c r="M103" s="8"/>
      <c r="N103" s="398"/>
      <c r="O103" s="398"/>
      <c r="P103" s="398"/>
      <c r="Q103" s="398"/>
      <c r="R103" s="398"/>
      <c r="S103" s="398"/>
      <c r="T103" s="398"/>
    </row>
    <row r="104" spans="1:20" s="17" customFormat="1">
      <c r="A104" s="398"/>
      <c r="B104" s="398"/>
      <c r="C104" s="398"/>
      <c r="D104" s="163" t="s">
        <v>537</v>
      </c>
      <c r="E104" s="673">
        <v>0.4</v>
      </c>
      <c r="F104" s="475">
        <v>0.45</v>
      </c>
      <c r="G104" s="159">
        <f t="shared" ref="G104:H108" si="6">E104*G$24</f>
        <v>0.44898461538461548</v>
      </c>
      <c r="H104" s="160">
        <f t="shared" si="6"/>
        <v>0.23676923076923073</v>
      </c>
      <c r="I104" s="444">
        <f>Test!$E$90*10%</f>
        <v>0</v>
      </c>
      <c r="J104" s="159">
        <f t="shared" ref="J104:K108" si="7">$I104*G104</f>
        <v>0</v>
      </c>
      <c r="K104" s="160">
        <f t="shared" si="7"/>
        <v>0</v>
      </c>
      <c r="L104" s="857"/>
      <c r="M104" s="850"/>
      <c r="N104" s="850"/>
      <c r="O104" s="850"/>
      <c r="P104" s="851"/>
      <c r="Q104" s="398"/>
      <c r="R104" s="398"/>
      <c r="S104" s="398"/>
      <c r="T104" s="398"/>
    </row>
    <row r="105" spans="1:20" s="17" customFormat="1">
      <c r="A105" s="398"/>
      <c r="B105" s="398"/>
      <c r="C105" s="398"/>
      <c r="D105" s="163" t="s">
        <v>538</v>
      </c>
      <c r="E105" s="674">
        <v>0.2</v>
      </c>
      <c r="F105" s="477">
        <v>0.15</v>
      </c>
      <c r="G105" s="159">
        <f t="shared" si="6"/>
        <v>0.22449230769230774</v>
      </c>
      <c r="H105" s="160">
        <f t="shared" si="6"/>
        <v>7.8923076923076915E-2</v>
      </c>
      <c r="I105" s="492">
        <f>Test!$E$90*30%</f>
        <v>0</v>
      </c>
      <c r="J105" s="159">
        <f t="shared" si="7"/>
        <v>0</v>
      </c>
      <c r="K105" s="160">
        <f t="shared" si="7"/>
        <v>0</v>
      </c>
      <c r="L105" s="857"/>
      <c r="M105" s="850"/>
      <c r="N105" s="850"/>
      <c r="O105" s="850"/>
      <c r="P105" s="851"/>
      <c r="Q105" s="398"/>
      <c r="R105" s="398"/>
      <c r="S105" s="398"/>
      <c r="T105" s="398"/>
    </row>
    <row r="106" spans="1:20" s="17" customFormat="1">
      <c r="A106" s="398"/>
      <c r="B106" s="398"/>
      <c r="C106" s="398"/>
      <c r="D106" s="163" t="s">
        <v>539</v>
      </c>
      <c r="E106" s="674">
        <v>0.2</v>
      </c>
      <c r="F106" s="477">
        <v>0.2</v>
      </c>
      <c r="G106" s="159">
        <f t="shared" si="6"/>
        <v>0.22449230769230774</v>
      </c>
      <c r="H106" s="160">
        <f t="shared" si="6"/>
        <v>0.10523076923076922</v>
      </c>
      <c r="I106" s="492">
        <f>Test!$E$90*25%</f>
        <v>0</v>
      </c>
      <c r="J106" s="159">
        <f t="shared" si="7"/>
        <v>0</v>
      </c>
      <c r="K106" s="160">
        <f t="shared" si="7"/>
        <v>0</v>
      </c>
      <c r="L106" s="857"/>
      <c r="M106" s="850"/>
      <c r="N106" s="850"/>
      <c r="O106" s="850"/>
      <c r="P106" s="851"/>
      <c r="Q106" s="398"/>
      <c r="R106" s="398"/>
      <c r="S106" s="398"/>
      <c r="T106" s="398"/>
    </row>
    <row r="107" spans="1:20" s="17" customFormat="1" ht="13.5" thickBot="1">
      <c r="A107" s="398"/>
      <c r="B107" s="398"/>
      <c r="C107" s="398"/>
      <c r="D107" s="163" t="s">
        <v>540</v>
      </c>
      <c r="E107" s="668">
        <v>0.1</v>
      </c>
      <c r="F107" s="478">
        <v>0.1</v>
      </c>
      <c r="G107" s="159">
        <f t="shared" si="6"/>
        <v>0.11224615384615387</v>
      </c>
      <c r="H107" s="160">
        <f t="shared" si="6"/>
        <v>5.2615384615384612E-2</v>
      </c>
      <c r="I107" s="492">
        <f>Test!$E$90*30%</f>
        <v>0</v>
      </c>
      <c r="J107" s="159">
        <f t="shared" si="7"/>
        <v>0</v>
      </c>
      <c r="K107" s="160">
        <f t="shared" si="7"/>
        <v>0</v>
      </c>
      <c r="L107" s="857"/>
      <c r="M107" s="850"/>
      <c r="N107" s="850"/>
      <c r="O107" s="850"/>
      <c r="P107" s="851"/>
      <c r="Q107" s="398"/>
      <c r="R107" s="398"/>
      <c r="S107" s="398"/>
      <c r="T107" s="398"/>
    </row>
    <row r="108" spans="1:20" s="28" customFormat="1" ht="13.5" thickBot="1">
      <c r="A108" s="398"/>
      <c r="B108" s="398"/>
      <c r="C108" s="398"/>
      <c r="D108" s="240" t="s">
        <v>541</v>
      </c>
      <c r="E108" s="238">
        <f>1-SUM(E104:E107)</f>
        <v>9.9999999999999978E-2</v>
      </c>
      <c r="F108" s="141">
        <f>1-SUM(F104:F107)</f>
        <v>9.9999999999999978E-2</v>
      </c>
      <c r="G108" s="161">
        <f t="shared" si="6"/>
        <v>0.11224615384615384</v>
      </c>
      <c r="H108" s="162">
        <f t="shared" si="6"/>
        <v>5.2615384615384599E-2</v>
      </c>
      <c r="I108" s="488">
        <f>Test!$E$90*30%</f>
        <v>0</v>
      </c>
      <c r="J108" s="161">
        <f t="shared" si="7"/>
        <v>0</v>
      </c>
      <c r="K108" s="162">
        <f t="shared" si="7"/>
        <v>0</v>
      </c>
      <c r="L108" s="857"/>
      <c r="M108" s="850"/>
      <c r="N108" s="850"/>
      <c r="O108" s="850"/>
      <c r="P108" s="851"/>
      <c r="Q108" s="398"/>
      <c r="R108" s="398"/>
      <c r="S108" s="398"/>
      <c r="T108" s="398"/>
    </row>
    <row r="109" spans="1:20" s="28" customFormat="1" ht="14.25" thickTop="1" thickBot="1">
      <c r="A109" s="398"/>
      <c r="B109" s="398"/>
      <c r="C109" s="398"/>
      <c r="D109" s="702" t="s">
        <v>535</v>
      </c>
      <c r="E109" s="168">
        <f>SUM(E104:E108)</f>
        <v>1</v>
      </c>
      <c r="F109" s="425">
        <f>SUM(F104:F108)</f>
        <v>1</v>
      </c>
      <c r="G109" s="428">
        <f>SUM(G104:G108)</f>
        <v>1.1224615384615386</v>
      </c>
      <c r="H109" s="429">
        <f>SUM(H104:H108)</f>
        <v>0.52615384615384608</v>
      </c>
      <c r="I109" s="440">
        <f>IWMix*(J109/G109)+TWMix*(K109/H109)</f>
        <v>0</v>
      </c>
      <c r="J109" s="431">
        <f>SUM(J104:J108)</f>
        <v>0</v>
      </c>
      <c r="K109" s="432">
        <f>SUM(K104:K108)</f>
        <v>0</v>
      </c>
      <c r="L109" s="858"/>
      <c r="M109" s="853"/>
      <c r="N109" s="853"/>
      <c r="O109" s="853"/>
      <c r="P109" s="854"/>
      <c r="Q109" s="398"/>
      <c r="R109" s="398"/>
      <c r="S109" s="398"/>
      <c r="T109" s="398"/>
    </row>
    <row r="110" spans="1:20" s="28" customFormat="1" ht="4.5" customHeight="1">
      <c r="A110" s="398"/>
      <c r="B110" s="398"/>
      <c r="C110" s="398"/>
      <c r="D110" s="398"/>
      <c r="E110" s="398"/>
      <c r="F110" s="398"/>
      <c r="G110" s="398"/>
      <c r="H110" s="398"/>
      <c r="I110" s="398"/>
      <c r="J110" s="398"/>
      <c r="K110" s="398"/>
      <c r="L110" s="398"/>
      <c r="M110" s="398"/>
      <c r="N110" s="398"/>
      <c r="O110" s="398"/>
      <c r="P110" s="398"/>
      <c r="Q110" s="398"/>
      <c r="R110" s="398"/>
      <c r="S110" s="398"/>
      <c r="T110" s="398"/>
    </row>
    <row r="111" spans="1:20" s="17" customFormat="1" ht="15" thickBot="1">
      <c r="A111" s="398"/>
      <c r="B111" s="398"/>
      <c r="C111" s="30" t="s">
        <v>542</v>
      </c>
      <c r="D111" s="398"/>
      <c r="E111" s="398"/>
      <c r="F111" s="398"/>
      <c r="G111" s="398"/>
      <c r="H111" s="398"/>
      <c r="I111" s="398"/>
      <c r="J111" s="398"/>
      <c r="K111" s="398"/>
      <c r="L111" s="639"/>
      <c r="M111" s="8"/>
      <c r="N111" s="398"/>
      <c r="O111" s="398"/>
      <c r="P111" s="398"/>
      <c r="Q111" s="398"/>
      <c r="R111" s="398"/>
      <c r="S111" s="398"/>
      <c r="T111" s="398"/>
    </row>
    <row r="112" spans="1:20" s="28" customFormat="1">
      <c r="A112" s="398"/>
      <c r="B112" s="398"/>
      <c r="C112" s="398"/>
      <c r="D112" s="163" t="s">
        <v>543</v>
      </c>
      <c r="E112" s="673">
        <v>0.75</v>
      </c>
      <c r="F112" s="475">
        <v>0.75</v>
      </c>
      <c r="G112" s="159">
        <f t="shared" ref="G112:H114" si="8">E112*G$25</f>
        <v>2.0204307692307695</v>
      </c>
      <c r="H112" s="160">
        <f t="shared" si="8"/>
        <v>0.63138461538461521</v>
      </c>
      <c r="I112" s="444">
        <f>Test!$E$91*10%</f>
        <v>0</v>
      </c>
      <c r="J112" s="159">
        <f t="shared" ref="J112:K114" si="9">$I112*G112</f>
        <v>0</v>
      </c>
      <c r="K112" s="160">
        <f t="shared" si="9"/>
        <v>0</v>
      </c>
      <c r="L112" s="857"/>
      <c r="M112" s="850"/>
      <c r="N112" s="850"/>
      <c r="O112" s="850"/>
      <c r="P112" s="851"/>
      <c r="Q112" s="398"/>
      <c r="R112" s="398"/>
      <c r="S112" s="398"/>
      <c r="T112" s="398"/>
    </row>
    <row r="113" spans="1:20" s="28" customFormat="1" ht="13.5" thickBot="1">
      <c r="A113" s="398"/>
      <c r="B113" s="398"/>
      <c r="C113" s="398"/>
      <c r="D113" s="163" t="s">
        <v>544</v>
      </c>
      <c r="E113" s="668">
        <v>0.15</v>
      </c>
      <c r="F113" s="478">
        <v>0.15</v>
      </c>
      <c r="G113" s="159">
        <f t="shared" si="8"/>
        <v>0.40408615384615393</v>
      </c>
      <c r="H113" s="160">
        <f t="shared" si="8"/>
        <v>0.12627692307692304</v>
      </c>
      <c r="I113" s="492">
        <f>Test!$E$91*10%</f>
        <v>0</v>
      </c>
      <c r="J113" s="159">
        <f t="shared" si="9"/>
        <v>0</v>
      </c>
      <c r="K113" s="160">
        <f t="shared" si="9"/>
        <v>0</v>
      </c>
      <c r="L113" s="857"/>
      <c r="M113" s="850"/>
      <c r="N113" s="850"/>
      <c r="O113" s="850"/>
      <c r="P113" s="851"/>
      <c r="Q113" s="398"/>
      <c r="R113" s="398"/>
      <c r="S113" s="398"/>
      <c r="T113" s="398"/>
    </row>
    <row r="114" spans="1:20" s="28" customFormat="1" ht="13.5" thickBot="1">
      <c r="A114" s="398"/>
      <c r="B114" s="398"/>
      <c r="C114" s="398"/>
      <c r="D114" s="240" t="s">
        <v>545</v>
      </c>
      <c r="E114" s="238">
        <f>1-SUM(E112:E113)</f>
        <v>9.9999999999999978E-2</v>
      </c>
      <c r="F114" s="141">
        <f>1-SUM(F112:F113)</f>
        <v>9.9999999999999978E-2</v>
      </c>
      <c r="G114" s="161">
        <f t="shared" si="8"/>
        <v>0.26939076923076921</v>
      </c>
      <c r="H114" s="162">
        <f t="shared" si="8"/>
        <v>8.4184615384615344E-2</v>
      </c>
      <c r="I114" s="488">
        <f>Test!$E$91*15%</f>
        <v>0</v>
      </c>
      <c r="J114" s="161">
        <f t="shared" si="9"/>
        <v>0</v>
      </c>
      <c r="K114" s="162">
        <f t="shared" si="9"/>
        <v>0</v>
      </c>
      <c r="L114" s="857"/>
      <c r="M114" s="850"/>
      <c r="N114" s="850"/>
      <c r="O114" s="850"/>
      <c r="P114" s="851"/>
      <c r="Q114" s="398"/>
      <c r="R114" s="398"/>
      <c r="S114" s="398"/>
      <c r="T114" s="398"/>
    </row>
    <row r="115" spans="1:20" s="28" customFormat="1" ht="14.25" thickTop="1" thickBot="1">
      <c r="A115" s="398"/>
      <c r="B115" s="398"/>
      <c r="C115" s="398"/>
      <c r="D115" s="702" t="s">
        <v>535</v>
      </c>
      <c r="E115" s="168">
        <f>SUM(E112:E114)</f>
        <v>1</v>
      </c>
      <c r="F115" s="425">
        <f>SUM(F112:F114)</f>
        <v>1</v>
      </c>
      <c r="G115" s="428">
        <f>SUM(G112:G114)</f>
        <v>2.6939076923076928</v>
      </c>
      <c r="H115" s="429">
        <f>SUM(H112:H114)</f>
        <v>0.84184615384615358</v>
      </c>
      <c r="I115" s="440">
        <f>IWMix*(J115/G115)+TWMix*(K115/H115)</f>
        <v>0</v>
      </c>
      <c r="J115" s="431">
        <f>SUM(J112)</f>
        <v>0</v>
      </c>
      <c r="K115" s="432">
        <f>SUM(K112)</f>
        <v>0</v>
      </c>
      <c r="L115" s="858"/>
      <c r="M115" s="853"/>
      <c r="N115" s="853"/>
      <c r="O115" s="853"/>
      <c r="P115" s="854"/>
      <c r="Q115" s="398"/>
      <c r="R115" s="398"/>
      <c r="S115" s="398"/>
      <c r="T115" s="398"/>
    </row>
    <row r="116" spans="1:20" s="28" customFormat="1" ht="4.5" customHeight="1">
      <c r="A116" s="398"/>
      <c r="B116" s="398"/>
      <c r="C116" s="398"/>
      <c r="D116" s="398"/>
      <c r="E116" s="398"/>
      <c r="F116" s="398"/>
      <c r="G116" s="398"/>
      <c r="H116" s="398"/>
      <c r="I116" s="398"/>
      <c r="J116" s="398"/>
      <c r="K116" s="398"/>
      <c r="L116" s="398"/>
      <c r="M116" s="398"/>
      <c r="N116" s="398"/>
      <c r="O116" s="398"/>
      <c r="P116" s="398"/>
      <c r="Q116" s="398"/>
      <c r="R116" s="398"/>
      <c r="S116" s="398"/>
      <c r="T116" s="398"/>
    </row>
    <row r="117" spans="1:20" s="17" customFormat="1" ht="15" thickBot="1">
      <c r="A117" s="398"/>
      <c r="B117" s="398"/>
      <c r="C117" s="30" t="s">
        <v>546</v>
      </c>
      <c r="D117" s="398"/>
      <c r="E117" s="398"/>
      <c r="F117" s="398"/>
      <c r="G117" s="398"/>
      <c r="H117" s="398"/>
      <c r="I117" s="398"/>
      <c r="J117" s="398"/>
      <c r="K117" s="398"/>
      <c r="L117" s="639"/>
      <c r="M117" s="8"/>
      <c r="N117" s="398"/>
      <c r="O117" s="398"/>
      <c r="P117" s="398"/>
      <c r="Q117" s="398"/>
      <c r="R117" s="398"/>
      <c r="S117" s="398"/>
      <c r="T117" s="398"/>
    </row>
    <row r="118" spans="1:20" s="28" customFormat="1" ht="26.25" thickBot="1">
      <c r="A118" s="398"/>
      <c r="B118" s="398"/>
      <c r="C118" s="398"/>
      <c r="D118" s="163" t="s">
        <v>547</v>
      </c>
      <c r="E118" s="480">
        <v>0.2</v>
      </c>
      <c r="F118" s="482">
        <v>0.4</v>
      </c>
      <c r="G118" s="159">
        <f>E118*G$26</f>
        <v>0.69592615384615408</v>
      </c>
      <c r="H118" s="160">
        <f>F118*H$26</f>
        <v>2.1888000000000001</v>
      </c>
      <c r="I118" s="444">
        <f>Test!$E$92*50%</f>
        <v>2.5000000000000001E-2</v>
      </c>
      <c r="J118" s="159">
        <f>$I118*G118</f>
        <v>1.7398153846153851E-2</v>
      </c>
      <c r="K118" s="160">
        <f>$I118*H118</f>
        <v>5.4720000000000005E-2</v>
      </c>
      <c r="L118" s="857"/>
      <c r="M118" s="850"/>
      <c r="N118" s="850"/>
      <c r="O118" s="850"/>
      <c r="P118" s="851"/>
      <c r="Q118" s="398"/>
      <c r="R118" s="398"/>
      <c r="S118" s="398"/>
      <c r="T118" s="398"/>
    </row>
    <row r="119" spans="1:20" s="17" customFormat="1" ht="26.25" thickBot="1">
      <c r="A119" s="398"/>
      <c r="B119" s="398"/>
      <c r="C119" s="398"/>
      <c r="D119" s="240" t="s">
        <v>548</v>
      </c>
      <c r="E119" s="238">
        <f>1-SUM(E118)</f>
        <v>0.8</v>
      </c>
      <c r="F119" s="141">
        <f>1-SUM(F118)</f>
        <v>0.6</v>
      </c>
      <c r="G119" s="161">
        <f>E119*G$26</f>
        <v>2.7837046153846163</v>
      </c>
      <c r="H119" s="162">
        <f>F119*H$26</f>
        <v>3.2831999999999995</v>
      </c>
      <c r="I119" s="488">
        <f>Test!$E$92*25%</f>
        <v>1.2500000000000001E-2</v>
      </c>
      <c r="J119" s="161">
        <f>$I119*G119</f>
        <v>3.4796307692307703E-2</v>
      </c>
      <c r="K119" s="162">
        <f>$I119*H119</f>
        <v>4.1039999999999993E-2</v>
      </c>
      <c r="L119" s="857"/>
      <c r="M119" s="850"/>
      <c r="N119" s="850"/>
      <c r="O119" s="850"/>
      <c r="P119" s="851"/>
      <c r="Q119" s="398"/>
      <c r="R119" s="398"/>
      <c r="S119" s="398"/>
      <c r="T119" s="398"/>
    </row>
    <row r="120" spans="1:20" s="28" customFormat="1" ht="14.25" thickTop="1" thickBot="1">
      <c r="A120" s="398"/>
      <c r="B120" s="398"/>
      <c r="C120" s="398"/>
      <c r="D120" s="702" t="s">
        <v>535</v>
      </c>
      <c r="E120" s="168">
        <f>SUM(E118:E119)</f>
        <v>1</v>
      </c>
      <c r="F120" s="425">
        <f>SUM(F118:F119)</f>
        <v>1</v>
      </c>
      <c r="G120" s="428">
        <f>SUM(G118:G119)</f>
        <v>3.4796307692307704</v>
      </c>
      <c r="H120" s="429">
        <f>SUM(H118:H119)</f>
        <v>5.4719999999999995</v>
      </c>
      <c r="I120" s="440">
        <f>IWMix*(J120/G120)+TWMix*(K120/H120)</f>
        <v>7.7771101097923075E-3</v>
      </c>
      <c r="J120" s="431">
        <f>SUM(J118)</f>
        <v>1.7398153846153851E-2</v>
      </c>
      <c r="K120" s="432">
        <f>SUM(K118)</f>
        <v>5.4720000000000005E-2</v>
      </c>
      <c r="L120" s="858"/>
      <c r="M120" s="853"/>
      <c r="N120" s="853"/>
      <c r="O120" s="853"/>
      <c r="P120" s="854"/>
      <c r="Q120" s="398"/>
      <c r="R120" s="398"/>
      <c r="S120" s="398"/>
      <c r="T120" s="398"/>
    </row>
    <row r="121" spans="1:20" s="28" customFormat="1" ht="4.5" customHeight="1">
      <c r="A121" s="398"/>
      <c r="B121" s="398"/>
      <c r="C121" s="398"/>
      <c r="D121" s="398"/>
      <c r="E121" s="398"/>
      <c r="F121" s="398"/>
      <c r="G121" s="398"/>
      <c r="H121" s="398"/>
      <c r="I121" s="398"/>
      <c r="J121" s="398"/>
      <c r="K121" s="398"/>
      <c r="L121" s="398"/>
      <c r="M121" s="398"/>
      <c r="N121" s="398"/>
      <c r="O121" s="398"/>
      <c r="P121" s="398"/>
      <c r="Q121" s="398"/>
      <c r="R121" s="398"/>
      <c r="S121" s="398"/>
      <c r="T121" s="398"/>
    </row>
    <row r="122" spans="1:20" s="17" customFormat="1" ht="15" thickBot="1">
      <c r="A122" s="398"/>
      <c r="B122" s="398"/>
      <c r="C122" s="30" t="str">
        <f>C147</f>
        <v>Other</v>
      </c>
      <c r="D122" s="398"/>
      <c r="E122" s="398"/>
      <c r="F122" s="398"/>
      <c r="G122" s="398"/>
      <c r="H122" s="398"/>
      <c r="I122" s="398"/>
      <c r="J122" s="398"/>
      <c r="K122" s="398"/>
      <c r="L122" s="639"/>
      <c r="M122" s="8"/>
      <c r="N122" s="398"/>
      <c r="O122" s="398"/>
      <c r="P122" s="398"/>
      <c r="Q122" s="398"/>
      <c r="R122" s="398"/>
      <c r="S122" s="398"/>
      <c r="T122" s="398"/>
    </row>
    <row r="123" spans="1:20" s="28" customFormat="1">
      <c r="A123" s="398"/>
      <c r="B123" s="398"/>
      <c r="C123" s="398"/>
      <c r="D123" s="163" t="s">
        <v>549</v>
      </c>
      <c r="E123" s="673">
        <v>0.04</v>
      </c>
      <c r="F123" s="475">
        <v>0.04</v>
      </c>
      <c r="G123" s="159">
        <f t="shared" ref="G123:H125" si="10">E123*G$27</f>
        <v>4.4898461538461588E-2</v>
      </c>
      <c r="H123" s="160">
        <f t="shared" si="10"/>
        <v>2.946461538461536E-2</v>
      </c>
      <c r="I123" s="444">
        <f>Test!$E$93*30%</f>
        <v>0</v>
      </c>
      <c r="J123" s="159">
        <f t="shared" ref="J123:K125" si="11">$I123*G123</f>
        <v>0</v>
      </c>
      <c r="K123" s="160">
        <f t="shared" si="11"/>
        <v>0</v>
      </c>
      <c r="L123" s="857"/>
      <c r="M123" s="850"/>
      <c r="N123" s="850"/>
      <c r="O123" s="850"/>
      <c r="P123" s="851"/>
      <c r="Q123" s="398"/>
      <c r="R123" s="398"/>
      <c r="S123" s="398"/>
      <c r="T123" s="398"/>
    </row>
    <row r="124" spans="1:20" s="17" customFormat="1" ht="13.5" thickBot="1">
      <c r="A124" s="398"/>
      <c r="B124" s="398"/>
      <c r="C124" s="398"/>
      <c r="D124" s="163" t="s">
        <v>550</v>
      </c>
      <c r="E124" s="668">
        <v>0.96</v>
      </c>
      <c r="F124" s="478">
        <v>0.96</v>
      </c>
      <c r="G124" s="159">
        <f t="shared" si="10"/>
        <v>1.0775630769230782</v>
      </c>
      <c r="H124" s="160">
        <f t="shared" si="10"/>
        <v>0.70715076923076858</v>
      </c>
      <c r="I124" s="492">
        <f>Test!$E$93*3%</f>
        <v>0</v>
      </c>
      <c r="J124" s="159">
        <f t="shared" si="11"/>
        <v>0</v>
      </c>
      <c r="K124" s="160">
        <f t="shared" si="11"/>
        <v>0</v>
      </c>
      <c r="L124" s="857"/>
      <c r="M124" s="850"/>
      <c r="N124" s="850"/>
      <c r="O124" s="850"/>
      <c r="P124" s="851"/>
      <c r="Q124" s="398"/>
      <c r="R124" s="398"/>
      <c r="S124" s="398"/>
      <c r="T124" s="398"/>
    </row>
    <row r="125" spans="1:20" s="17" customFormat="1" ht="13.5" thickBot="1">
      <c r="A125" s="398"/>
      <c r="B125" s="398"/>
      <c r="C125" s="398"/>
      <c r="D125" s="508" t="s">
        <v>252</v>
      </c>
      <c r="E125" s="238">
        <f>1-SUM(E123:E124)</f>
        <v>0</v>
      </c>
      <c r="F125" s="141">
        <f>1-SUM(F123:F124)</f>
        <v>0</v>
      </c>
      <c r="G125" s="161">
        <f t="shared" si="10"/>
        <v>0</v>
      </c>
      <c r="H125" s="162">
        <f t="shared" si="10"/>
        <v>0</v>
      </c>
      <c r="I125" s="488">
        <f>Test!$E$93*0%</f>
        <v>0</v>
      </c>
      <c r="J125" s="161">
        <f t="shared" si="11"/>
        <v>0</v>
      </c>
      <c r="K125" s="162">
        <f t="shared" si="11"/>
        <v>0</v>
      </c>
      <c r="L125" s="857"/>
      <c r="M125" s="850"/>
      <c r="N125" s="850"/>
      <c r="O125" s="850"/>
      <c r="P125" s="851"/>
      <c r="Q125" s="398"/>
      <c r="R125" s="398"/>
      <c r="S125" s="398"/>
      <c r="T125" s="398"/>
    </row>
    <row r="126" spans="1:20" s="28" customFormat="1" ht="14.25" thickTop="1" thickBot="1">
      <c r="A126" s="398"/>
      <c r="B126" s="398"/>
      <c r="C126" s="398"/>
      <c r="D126" s="135" t="s">
        <v>535</v>
      </c>
      <c r="E126" s="168">
        <f>SUM(E123:E125)</f>
        <v>1</v>
      </c>
      <c r="F126" s="425">
        <f>SUM(F123:F125)</f>
        <v>1</v>
      </c>
      <c r="G126" s="433">
        <f>SUM(G123:G125)</f>
        <v>1.1224615384615397</v>
      </c>
      <c r="H126" s="434">
        <f>SUM(H123:H125)</f>
        <v>0.73661538461538389</v>
      </c>
      <c r="I126" s="441">
        <f>IWMix*(J126/G126)+TWMix*(K126/H126)</f>
        <v>0</v>
      </c>
      <c r="J126" s="435">
        <f>SUM(J123:J125)</f>
        <v>0</v>
      </c>
      <c r="K126" s="436">
        <f>SUM(K123:K125)</f>
        <v>0</v>
      </c>
      <c r="L126" s="858"/>
      <c r="M126" s="853"/>
      <c r="N126" s="853"/>
      <c r="O126" s="853"/>
      <c r="P126" s="854"/>
      <c r="Q126" s="398"/>
      <c r="R126" s="398"/>
      <c r="S126" s="398"/>
      <c r="T126" s="398"/>
    </row>
    <row r="127" spans="1:20" s="17" customFormat="1" ht="15.75" thickTop="1" thickBot="1">
      <c r="A127" s="398"/>
      <c r="B127" s="398"/>
      <c r="C127" s="30" t="str">
        <f>$D$46</f>
        <v>Total</v>
      </c>
      <c r="D127" s="398"/>
      <c r="E127" s="398"/>
      <c r="F127" s="398"/>
      <c r="G127" s="437">
        <f>SUM(G101,G109,G115,G120,G126)</f>
        <v>11.224615384615388</v>
      </c>
      <c r="H127" s="438">
        <f>SUM(H101,H109,H115,H120,H126)</f>
        <v>10.523076923076921</v>
      </c>
      <c r="I127" s="430">
        <f>IWMix*(J127/G127)+TWMix*(K127/H127)</f>
        <v>3.5772903801483845E-3</v>
      </c>
      <c r="J127" s="431">
        <f>SUM(J101,J109,J115,J120,J126)</f>
        <v>1.7398153846153851E-2</v>
      </c>
      <c r="K127" s="439">
        <f>SUM(K101,K109,K115,K120,K126)</f>
        <v>5.4720000000000005E-2</v>
      </c>
      <c r="L127" s="639"/>
      <c r="M127" s="8"/>
      <c r="N127" s="398"/>
      <c r="O127" s="398"/>
      <c r="P127" s="398"/>
      <c r="Q127" s="398"/>
      <c r="R127" s="398"/>
      <c r="S127" s="398"/>
      <c r="T127" s="398"/>
    </row>
    <row r="128" spans="1:20" s="28" customFormat="1">
      <c r="A128" s="398"/>
      <c r="B128" s="398"/>
      <c r="C128" s="398"/>
      <c r="D128" s="398"/>
      <c r="E128" s="398"/>
      <c r="F128" s="398"/>
      <c r="G128" s="398"/>
      <c r="H128" s="398"/>
      <c r="I128" s="398"/>
      <c r="J128" s="398"/>
      <c r="K128" s="398"/>
      <c r="L128" s="398"/>
      <c r="M128" s="398"/>
      <c r="N128" s="398"/>
      <c r="O128" s="398"/>
      <c r="P128" s="398"/>
      <c r="Q128" s="398"/>
      <c r="R128" s="398"/>
      <c r="S128" s="398"/>
      <c r="T128" s="398"/>
    </row>
    <row r="129" spans="1:20" s="28" customFormat="1" ht="15" customHeight="1">
      <c r="A129" s="398"/>
      <c r="B129" s="6" t="str">
        <f>C29</f>
        <v>Collaborative Computing</v>
      </c>
      <c r="C129" s="398"/>
      <c r="D129" s="398"/>
      <c r="E129" s="782" t="str">
        <f t="shared" ref="E129:J129" si="12">E93</f>
        <v>Time %</v>
      </c>
      <c r="F129" s="783"/>
      <c r="G129" s="782" t="str">
        <f t="shared" si="12"/>
        <v>Hours / Week</v>
      </c>
      <c r="H129" s="783"/>
      <c r="I129" s="841" t="str">
        <f t="shared" si="12"/>
        <v>Efficiency Improve-ment</v>
      </c>
      <c r="J129" s="782" t="str">
        <f t="shared" si="12"/>
        <v>Time Saved</v>
      </c>
      <c r="K129" s="783"/>
      <c r="L129" s="398"/>
      <c r="M129" s="398"/>
      <c r="N129" s="398"/>
      <c r="O129" s="398"/>
      <c r="P129" s="398"/>
      <c r="Q129" s="398"/>
      <c r="R129" s="398"/>
      <c r="S129" s="398"/>
      <c r="T129" s="398"/>
    </row>
    <row r="130" spans="1:20" s="28" customFormat="1" ht="25.5">
      <c r="A130" s="398"/>
      <c r="B130" s="398"/>
      <c r="C130" s="398"/>
      <c r="D130" s="671" t="str">
        <f t="shared" ref="D130:L130" si="13">D94</f>
        <v>Activity</v>
      </c>
      <c r="E130" s="671" t="str">
        <f t="shared" si="13"/>
        <v>Info Wrkr</v>
      </c>
      <c r="F130" s="671" t="str">
        <f t="shared" si="13"/>
        <v>Task Wrkr</v>
      </c>
      <c r="G130" s="671" t="str">
        <f t="shared" si="13"/>
        <v>Info Wrkr</v>
      </c>
      <c r="H130" s="671" t="str">
        <f t="shared" si="13"/>
        <v>Task Wrkr</v>
      </c>
      <c r="I130" s="859"/>
      <c r="J130" s="671" t="str">
        <f t="shared" si="13"/>
        <v>Info Wrkr</v>
      </c>
      <c r="K130" s="671" t="str">
        <f t="shared" si="13"/>
        <v>Task Wrkr</v>
      </c>
      <c r="L130" s="782" t="str">
        <f t="shared" si="13"/>
        <v>Comments</v>
      </c>
      <c r="M130" s="789"/>
      <c r="N130" s="789"/>
      <c r="O130" s="789"/>
      <c r="P130" s="783"/>
      <c r="Q130" s="398"/>
      <c r="R130" s="398"/>
      <c r="S130" s="398"/>
      <c r="T130" s="398"/>
    </row>
    <row r="131" spans="1:20" s="17" customFormat="1" ht="15" thickBot="1">
      <c r="A131" s="398"/>
      <c r="B131" s="398"/>
      <c r="C131" s="30" t="s">
        <v>551</v>
      </c>
      <c r="D131" s="398"/>
      <c r="E131" s="398"/>
      <c r="F131" s="398"/>
      <c r="G131" s="398"/>
      <c r="H131" s="398"/>
      <c r="I131" s="398"/>
      <c r="J131" s="398"/>
      <c r="K131" s="398"/>
      <c r="L131" s="639"/>
      <c r="M131" s="8"/>
      <c r="N131" s="398"/>
      <c r="O131" s="398"/>
      <c r="P131" s="398"/>
      <c r="Q131" s="398"/>
      <c r="R131" s="398"/>
      <c r="S131" s="398"/>
      <c r="T131" s="398"/>
    </row>
    <row r="132" spans="1:20" s="17" customFormat="1" ht="38.25">
      <c r="A132" s="398"/>
      <c r="B132" s="398"/>
      <c r="C132" s="398"/>
      <c r="D132" s="163" t="s">
        <v>552</v>
      </c>
      <c r="E132" s="673">
        <v>0.6</v>
      </c>
      <c r="F132" s="475">
        <v>0.6</v>
      </c>
      <c r="G132" s="159">
        <f t="shared" ref="G132:H134" si="14">E132*G$30</f>
        <v>2.651815384615384</v>
      </c>
      <c r="H132" s="160">
        <f t="shared" si="14"/>
        <v>0.29675076923076921</v>
      </c>
      <c r="I132" s="444">
        <f>Test!E96*35%</f>
        <v>0</v>
      </c>
      <c r="J132" s="159">
        <f t="shared" ref="J132:K134" si="15">$I132*G132</f>
        <v>0</v>
      </c>
      <c r="K132" s="160">
        <f t="shared" si="15"/>
        <v>0</v>
      </c>
      <c r="L132" s="857"/>
      <c r="M132" s="850"/>
      <c r="N132" s="850"/>
      <c r="O132" s="850"/>
      <c r="P132" s="851"/>
      <c r="Q132" s="398"/>
      <c r="R132" s="398"/>
      <c r="S132" s="398"/>
      <c r="T132" s="398"/>
    </row>
    <row r="133" spans="1:20" s="17" customFormat="1" ht="13.5" thickBot="1">
      <c r="A133" s="398"/>
      <c r="B133" s="398"/>
      <c r="C133" s="398"/>
      <c r="D133" s="163" t="s">
        <v>553</v>
      </c>
      <c r="E133" s="668">
        <v>0.35</v>
      </c>
      <c r="F133" s="478">
        <v>0.35</v>
      </c>
      <c r="G133" s="159">
        <f t="shared" si="14"/>
        <v>1.5468923076923073</v>
      </c>
      <c r="H133" s="160">
        <f t="shared" si="14"/>
        <v>0.17310461538461538</v>
      </c>
      <c r="I133" s="492">
        <f>Test!E96*25%</f>
        <v>0</v>
      </c>
      <c r="J133" s="159">
        <f t="shared" si="15"/>
        <v>0</v>
      </c>
      <c r="K133" s="160">
        <f t="shared" si="15"/>
        <v>0</v>
      </c>
      <c r="L133" s="857"/>
      <c r="M133" s="850"/>
      <c r="N133" s="850"/>
      <c r="O133" s="850"/>
      <c r="P133" s="851"/>
      <c r="Q133" s="398"/>
      <c r="R133" s="398"/>
      <c r="S133" s="398"/>
      <c r="T133" s="398"/>
    </row>
    <row r="134" spans="1:20" s="17" customFormat="1" ht="13.5" thickBot="1">
      <c r="A134" s="398"/>
      <c r="B134" s="398"/>
      <c r="C134" s="398"/>
      <c r="D134" s="240" t="s">
        <v>554</v>
      </c>
      <c r="E134" s="238">
        <f>1-SUM(E132:E133)</f>
        <v>5.0000000000000044E-2</v>
      </c>
      <c r="F134" s="141">
        <f>1-SUM(F132:F133)</f>
        <v>5.0000000000000044E-2</v>
      </c>
      <c r="G134" s="161">
        <f t="shared" si="14"/>
        <v>0.22098461538461553</v>
      </c>
      <c r="H134" s="162">
        <f t="shared" si="14"/>
        <v>2.4729230769230792E-2</v>
      </c>
      <c r="I134" s="488">
        <f>Test!E96*65%</f>
        <v>0</v>
      </c>
      <c r="J134" s="161">
        <f t="shared" si="15"/>
        <v>0</v>
      </c>
      <c r="K134" s="162">
        <f t="shared" si="15"/>
        <v>0</v>
      </c>
      <c r="L134" s="857"/>
      <c r="M134" s="850"/>
      <c r="N134" s="850"/>
      <c r="O134" s="850"/>
      <c r="P134" s="851"/>
      <c r="Q134" s="398"/>
      <c r="R134" s="398"/>
      <c r="S134" s="398"/>
      <c r="T134" s="398"/>
    </row>
    <row r="135" spans="1:20" s="28" customFormat="1" ht="14.25" thickTop="1" thickBot="1">
      <c r="A135" s="398"/>
      <c r="B135" s="398"/>
      <c r="C135" s="398"/>
      <c r="D135" s="702" t="s">
        <v>535</v>
      </c>
      <c r="E135" s="168">
        <f>SUM(E132:E134)</f>
        <v>1</v>
      </c>
      <c r="F135" s="425">
        <f>SUM(F132:F134)</f>
        <v>1</v>
      </c>
      <c r="G135" s="428">
        <f>SUM(G132:G134)</f>
        <v>4.4196923076923067</v>
      </c>
      <c r="H135" s="429">
        <f>SUM(H132:H134)</f>
        <v>0.49458461538461534</v>
      </c>
      <c r="I135" s="440">
        <f>IWMix*(J135/G135)+TWMix*(K135/H135)</f>
        <v>0</v>
      </c>
      <c r="J135" s="431">
        <f>SUM(J132:J134)</f>
        <v>0</v>
      </c>
      <c r="K135" s="432">
        <f>SUM(K132:K134)</f>
        <v>0</v>
      </c>
      <c r="L135" s="858"/>
      <c r="M135" s="853"/>
      <c r="N135" s="853"/>
      <c r="O135" s="853"/>
      <c r="P135" s="854"/>
      <c r="Q135" s="398"/>
      <c r="R135" s="398"/>
      <c r="S135" s="398"/>
      <c r="T135" s="398"/>
    </row>
    <row r="136" spans="1:20" s="28" customFormat="1" ht="4.5" customHeight="1">
      <c r="A136" s="398"/>
      <c r="B136" s="398"/>
      <c r="C136" s="398"/>
      <c r="D136" s="398"/>
      <c r="E136" s="398"/>
      <c r="F136" s="398"/>
      <c r="G136" s="398"/>
      <c r="H136" s="398"/>
      <c r="I136" s="398"/>
      <c r="J136" s="398"/>
      <c r="K136" s="398"/>
      <c r="L136" s="398"/>
      <c r="M136" s="398"/>
      <c r="N136" s="398"/>
      <c r="O136" s="398"/>
      <c r="P136" s="398"/>
      <c r="Q136" s="398"/>
      <c r="R136" s="398"/>
      <c r="S136" s="398"/>
      <c r="T136" s="398"/>
    </row>
    <row r="137" spans="1:20" s="17" customFormat="1" ht="15" thickBot="1">
      <c r="A137" s="398"/>
      <c r="B137" s="398"/>
      <c r="C137" s="30" t="s">
        <v>555</v>
      </c>
      <c r="D137" s="398"/>
      <c r="E137" s="398"/>
      <c r="F137" s="398"/>
      <c r="G137" s="398"/>
      <c r="H137" s="398"/>
      <c r="I137" s="398"/>
      <c r="J137" s="398"/>
      <c r="K137" s="398"/>
      <c r="L137" s="639"/>
      <c r="M137" s="8"/>
      <c r="N137" s="398"/>
      <c r="O137" s="398"/>
      <c r="P137" s="398"/>
      <c r="Q137" s="398"/>
      <c r="R137" s="398"/>
      <c r="S137" s="398"/>
      <c r="T137" s="398"/>
    </row>
    <row r="138" spans="1:20" s="17" customFormat="1" ht="26.25" thickBot="1">
      <c r="A138" s="398"/>
      <c r="B138" s="398"/>
      <c r="C138" s="398"/>
      <c r="D138" s="163" t="s">
        <v>556</v>
      </c>
      <c r="E138" s="480">
        <v>0.5</v>
      </c>
      <c r="F138" s="482">
        <v>0.5</v>
      </c>
      <c r="G138" s="159">
        <f>E138*G$31</f>
        <v>0.55246153846153834</v>
      </c>
      <c r="H138" s="160">
        <f>F138*H$31</f>
        <v>0.14732307692307695</v>
      </c>
      <c r="I138" s="444">
        <f>Test!E97*5%</f>
        <v>0</v>
      </c>
      <c r="J138" s="159">
        <f>$I138*G138</f>
        <v>0</v>
      </c>
      <c r="K138" s="160">
        <f>$I138*H138</f>
        <v>0</v>
      </c>
      <c r="L138" s="857"/>
      <c r="M138" s="850"/>
      <c r="N138" s="850"/>
      <c r="O138" s="850"/>
      <c r="P138" s="851"/>
      <c r="Q138" s="398"/>
      <c r="R138" s="398"/>
      <c r="S138" s="398"/>
      <c r="T138" s="398"/>
    </row>
    <row r="139" spans="1:20" s="17" customFormat="1" ht="13.5" thickBot="1">
      <c r="A139" s="398"/>
      <c r="B139" s="398"/>
      <c r="C139" s="398"/>
      <c r="D139" s="240" t="s">
        <v>557</v>
      </c>
      <c r="E139" s="238">
        <f>1-SUM(E138)</f>
        <v>0.5</v>
      </c>
      <c r="F139" s="141">
        <f>1-SUM(F138)</f>
        <v>0.5</v>
      </c>
      <c r="G139" s="161">
        <f>E139*G$31</f>
        <v>0.55246153846153834</v>
      </c>
      <c r="H139" s="162">
        <f>F139*H$31</f>
        <v>0.14732307692307695</v>
      </c>
      <c r="I139" s="488">
        <f>Test!E97*50%</f>
        <v>0</v>
      </c>
      <c r="J139" s="161">
        <f>$I139*G139</f>
        <v>0</v>
      </c>
      <c r="K139" s="162">
        <f>$I139*H139</f>
        <v>0</v>
      </c>
      <c r="L139" s="857"/>
      <c r="M139" s="850"/>
      <c r="N139" s="850"/>
      <c r="O139" s="850"/>
      <c r="P139" s="851"/>
      <c r="Q139" s="398"/>
      <c r="R139" s="398"/>
      <c r="S139" s="398"/>
      <c r="T139" s="398"/>
    </row>
    <row r="140" spans="1:20" s="28" customFormat="1" ht="14.25" thickTop="1" thickBot="1">
      <c r="A140" s="398"/>
      <c r="B140" s="398"/>
      <c r="C140" s="398"/>
      <c r="D140" s="702" t="s">
        <v>535</v>
      </c>
      <c r="E140" s="168">
        <f>SUM(E138:E139)</f>
        <v>1</v>
      </c>
      <c r="F140" s="425">
        <f>SUM(F138:F139)</f>
        <v>1</v>
      </c>
      <c r="G140" s="428">
        <f>SUM(G138:G139)</f>
        <v>1.1049230769230767</v>
      </c>
      <c r="H140" s="429">
        <f>SUM(H138:H139)</f>
        <v>0.29464615384615389</v>
      </c>
      <c r="I140" s="440">
        <f>IWMix*(J140/G140)+TWMix*(K140/H140)</f>
        <v>0</v>
      </c>
      <c r="J140" s="431">
        <f>SUM(J138:J139)</f>
        <v>0</v>
      </c>
      <c r="K140" s="432">
        <f>SUM(K138:K139)</f>
        <v>0</v>
      </c>
      <c r="L140" s="858"/>
      <c r="M140" s="853"/>
      <c r="N140" s="853"/>
      <c r="O140" s="853"/>
      <c r="P140" s="854"/>
      <c r="Q140" s="398"/>
      <c r="R140" s="398"/>
      <c r="S140" s="398"/>
      <c r="T140" s="398"/>
    </row>
    <row r="141" spans="1:20" s="28" customFormat="1" ht="4.5" customHeight="1">
      <c r="A141" s="398"/>
      <c r="B141" s="398"/>
      <c r="C141" s="398"/>
      <c r="D141" s="398"/>
      <c r="E141" s="398"/>
      <c r="F141" s="398"/>
      <c r="G141" s="398"/>
      <c r="H141" s="398"/>
      <c r="I141" s="398"/>
      <c r="J141" s="398"/>
      <c r="K141" s="398"/>
      <c r="L141" s="398"/>
      <c r="M141" s="398"/>
      <c r="N141" s="398"/>
      <c r="O141" s="398"/>
      <c r="P141" s="398"/>
      <c r="Q141" s="398"/>
      <c r="R141" s="398"/>
      <c r="S141" s="398"/>
      <c r="T141" s="398"/>
    </row>
    <row r="142" spans="1:20" s="17" customFormat="1" ht="15" thickBot="1">
      <c r="A142" s="398"/>
      <c r="B142" s="398"/>
      <c r="C142" s="30" t="s">
        <v>558</v>
      </c>
      <c r="D142" s="398"/>
      <c r="E142" s="398"/>
      <c r="F142" s="398"/>
      <c r="G142" s="398"/>
      <c r="H142" s="398"/>
      <c r="I142" s="398"/>
      <c r="J142" s="398"/>
      <c r="K142" s="398"/>
      <c r="L142" s="639"/>
      <c r="M142" s="8"/>
      <c r="N142" s="398"/>
      <c r="O142" s="398"/>
      <c r="P142" s="398"/>
      <c r="Q142" s="398"/>
      <c r="R142" s="398"/>
      <c r="S142" s="398"/>
      <c r="T142" s="398"/>
    </row>
    <row r="143" spans="1:20" s="17" customFormat="1" ht="39" thickBot="1">
      <c r="A143" s="398"/>
      <c r="B143" s="398"/>
      <c r="C143" s="398"/>
      <c r="D143" s="163" t="s">
        <v>559</v>
      </c>
      <c r="E143" s="480">
        <v>0.7</v>
      </c>
      <c r="F143" s="482">
        <v>0.7</v>
      </c>
      <c r="G143" s="159">
        <f>E143*G$32</f>
        <v>0.82500923076923072</v>
      </c>
      <c r="H143" s="160">
        <f>F143*H$32</f>
        <v>0.1104923076923077</v>
      </c>
      <c r="I143" s="444">
        <f>Test!E98*35%</f>
        <v>0</v>
      </c>
      <c r="J143" s="159">
        <f>$I143*G143</f>
        <v>0</v>
      </c>
      <c r="K143" s="160">
        <f>$I143*H143</f>
        <v>0</v>
      </c>
      <c r="L143" s="857"/>
      <c r="M143" s="850"/>
      <c r="N143" s="850"/>
      <c r="O143" s="850"/>
      <c r="P143" s="851"/>
      <c r="Q143" s="398"/>
      <c r="R143" s="398"/>
      <c r="S143" s="398"/>
      <c r="T143" s="398"/>
    </row>
    <row r="144" spans="1:20" s="17" customFormat="1" ht="13.5" thickBot="1">
      <c r="A144" s="398"/>
      <c r="B144" s="398"/>
      <c r="C144" s="398"/>
      <c r="D144" s="240" t="s">
        <v>560</v>
      </c>
      <c r="E144" s="238">
        <f>1-SUM(E143)</f>
        <v>0.30000000000000004</v>
      </c>
      <c r="F144" s="141">
        <f>1-SUM(F143)</f>
        <v>0.30000000000000004</v>
      </c>
      <c r="G144" s="161">
        <f>E144*G$32</f>
        <v>0.35357538461538468</v>
      </c>
      <c r="H144" s="162">
        <f>F144*H$32</f>
        <v>4.7353846153846163E-2</v>
      </c>
      <c r="I144" s="488">
        <f>Test!E99*10%</f>
        <v>0</v>
      </c>
      <c r="J144" s="161">
        <f>$I144*G144</f>
        <v>0</v>
      </c>
      <c r="K144" s="162">
        <f>$I144*H144</f>
        <v>0</v>
      </c>
      <c r="L144" s="857"/>
      <c r="M144" s="850"/>
      <c r="N144" s="850"/>
      <c r="O144" s="850"/>
      <c r="P144" s="851"/>
      <c r="Q144" s="398"/>
      <c r="R144" s="398"/>
      <c r="S144" s="398"/>
      <c r="T144" s="398"/>
    </row>
    <row r="145" spans="1:20" s="28" customFormat="1" ht="14.25" thickTop="1" thickBot="1">
      <c r="A145" s="398"/>
      <c r="B145" s="398"/>
      <c r="C145" s="398"/>
      <c r="D145" s="702" t="s">
        <v>535</v>
      </c>
      <c r="E145" s="168">
        <f>SUM(E143:E144)</f>
        <v>1</v>
      </c>
      <c r="F145" s="425">
        <f>SUM(F143:F144)</f>
        <v>1</v>
      </c>
      <c r="G145" s="428">
        <f>SUM(G143:G144)</f>
        <v>1.1785846153846153</v>
      </c>
      <c r="H145" s="429">
        <f>SUM(H143:H144)</f>
        <v>0.15784615384615386</v>
      </c>
      <c r="I145" s="440">
        <f>IWMix*(J145/G145)+TWMix*(K145/H145)</f>
        <v>0</v>
      </c>
      <c r="J145" s="431">
        <f>SUM(J143:J144)</f>
        <v>0</v>
      </c>
      <c r="K145" s="432">
        <f>SUM(K143:K144)</f>
        <v>0</v>
      </c>
      <c r="L145" s="858"/>
      <c r="M145" s="853"/>
      <c r="N145" s="853"/>
      <c r="O145" s="853"/>
      <c r="P145" s="854"/>
      <c r="Q145" s="398"/>
      <c r="R145" s="398"/>
      <c r="S145" s="398"/>
      <c r="T145" s="398"/>
    </row>
    <row r="146" spans="1:20" s="28" customFormat="1" ht="4.5" customHeight="1">
      <c r="A146" s="398"/>
      <c r="B146" s="398"/>
      <c r="C146" s="398"/>
      <c r="D146" s="398"/>
      <c r="E146" s="398"/>
      <c r="F146" s="398"/>
      <c r="G146" s="398"/>
      <c r="H146" s="398"/>
      <c r="I146" s="398"/>
      <c r="J146" s="398"/>
      <c r="K146" s="398"/>
      <c r="L146" s="398"/>
      <c r="M146" s="398"/>
      <c r="N146" s="398"/>
      <c r="O146" s="398"/>
      <c r="P146" s="398"/>
      <c r="Q146" s="398"/>
      <c r="R146" s="398"/>
      <c r="S146" s="398"/>
      <c r="T146" s="398"/>
    </row>
    <row r="147" spans="1:20" s="17" customFormat="1" ht="15" thickBot="1">
      <c r="A147" s="398"/>
      <c r="B147" s="398"/>
      <c r="C147" s="30" t="str">
        <f>R150</f>
        <v>Other</v>
      </c>
      <c r="D147" s="398"/>
      <c r="E147" s="398"/>
      <c r="F147" s="398"/>
      <c r="G147" s="398"/>
      <c r="H147" s="398"/>
      <c r="I147" s="398"/>
      <c r="J147" s="398"/>
      <c r="K147" s="398"/>
      <c r="L147" s="639"/>
      <c r="M147" s="8"/>
      <c r="N147" s="398"/>
      <c r="O147" s="398"/>
      <c r="P147" s="398"/>
      <c r="Q147" s="398"/>
      <c r="R147" s="398"/>
      <c r="S147" s="398"/>
      <c r="T147" s="398"/>
    </row>
    <row r="148" spans="1:20" s="17" customFormat="1" ht="25.5">
      <c r="A148" s="398"/>
      <c r="B148" s="398"/>
      <c r="C148" s="398"/>
      <c r="D148" s="163" t="s">
        <v>561</v>
      </c>
      <c r="E148" s="673">
        <v>0.7</v>
      </c>
      <c r="F148" s="475">
        <v>0.9</v>
      </c>
      <c r="G148" s="159">
        <f t="shared" ref="G148:H150" si="16">E148*G$33</f>
        <v>0.46406769230769207</v>
      </c>
      <c r="H148" s="160">
        <f t="shared" si="16"/>
        <v>9.4707692307692298E-2</v>
      </c>
      <c r="I148" s="444">
        <f>Test!E99*35%</f>
        <v>0</v>
      </c>
      <c r="J148" s="159">
        <f t="shared" ref="J148:K150" si="17">$I148*G148</f>
        <v>0</v>
      </c>
      <c r="K148" s="160">
        <f t="shared" si="17"/>
        <v>0</v>
      </c>
      <c r="L148" s="857"/>
      <c r="M148" s="850"/>
      <c r="N148" s="850"/>
      <c r="O148" s="850"/>
      <c r="P148" s="851"/>
      <c r="Q148" s="398"/>
      <c r="R148" s="398"/>
      <c r="S148" s="398"/>
      <c r="T148" s="398"/>
    </row>
    <row r="149" spans="1:20" s="31" customFormat="1" ht="26.25" thickBot="1">
      <c r="A149" s="398"/>
      <c r="B149" s="398"/>
      <c r="C149" s="398"/>
      <c r="D149" s="163" t="s">
        <v>562</v>
      </c>
      <c r="E149" s="668">
        <v>0.3</v>
      </c>
      <c r="F149" s="478">
        <v>0.1</v>
      </c>
      <c r="G149" s="159">
        <f t="shared" si="16"/>
        <v>0.19888615384615377</v>
      </c>
      <c r="H149" s="160">
        <f t="shared" si="16"/>
        <v>1.0523076923076921E-2</v>
      </c>
      <c r="I149" s="492">
        <f>Test!E98*20%</f>
        <v>0</v>
      </c>
      <c r="J149" s="159">
        <f t="shared" si="17"/>
        <v>0</v>
      </c>
      <c r="K149" s="160">
        <f t="shared" si="17"/>
        <v>0</v>
      </c>
      <c r="L149" s="857"/>
      <c r="M149" s="850"/>
      <c r="N149" s="850"/>
      <c r="O149" s="850"/>
      <c r="P149" s="851"/>
      <c r="Q149" s="398"/>
      <c r="R149" s="398"/>
      <c r="S149" s="398"/>
      <c r="T149" s="398"/>
    </row>
    <row r="150" spans="1:20" s="17" customFormat="1" ht="13.5" thickBot="1">
      <c r="A150" s="398"/>
      <c r="B150" s="398"/>
      <c r="C150" s="398"/>
      <c r="D150" s="509" t="s">
        <v>252</v>
      </c>
      <c r="E150" s="238">
        <f>1-SUM(E148:E149)</f>
        <v>0</v>
      </c>
      <c r="F150" s="141">
        <f>1-SUM(F148:F149)</f>
        <v>0</v>
      </c>
      <c r="G150" s="161">
        <f t="shared" si="16"/>
        <v>0</v>
      </c>
      <c r="H150" s="162">
        <f t="shared" si="16"/>
        <v>0</v>
      </c>
      <c r="I150" s="488">
        <f>Test!E99*0%</f>
        <v>0</v>
      </c>
      <c r="J150" s="161">
        <f t="shared" si="17"/>
        <v>0</v>
      </c>
      <c r="K150" s="162">
        <f t="shared" si="17"/>
        <v>0</v>
      </c>
      <c r="L150" s="857"/>
      <c r="M150" s="850"/>
      <c r="N150" s="850"/>
      <c r="O150" s="850"/>
      <c r="P150" s="851"/>
      <c r="Q150" s="398"/>
      <c r="R150" s="270" t="s">
        <v>252</v>
      </c>
      <c r="S150" s="398"/>
      <c r="T150" s="398"/>
    </row>
    <row r="151" spans="1:20" s="28" customFormat="1" ht="14.25" thickTop="1" thickBot="1">
      <c r="A151" s="398"/>
      <c r="B151" s="398"/>
      <c r="C151" s="398"/>
      <c r="D151" s="135" t="s">
        <v>535</v>
      </c>
      <c r="E151" s="168">
        <f>SUM(E148:E150)</f>
        <v>1</v>
      </c>
      <c r="F151" s="425">
        <f>SUM(F148:F150)</f>
        <v>1</v>
      </c>
      <c r="G151" s="433">
        <f>SUM(G148:G150)</f>
        <v>0.66295384615384578</v>
      </c>
      <c r="H151" s="434">
        <f>SUM(H148:H150)</f>
        <v>0.10523076923076922</v>
      </c>
      <c r="I151" s="441">
        <f>IWMix*(J151/G151)+TWMix*(K151/H151)</f>
        <v>0</v>
      </c>
      <c r="J151" s="435">
        <f>SUM(J148:J150)</f>
        <v>0</v>
      </c>
      <c r="K151" s="436">
        <f>SUM(K148:K150)</f>
        <v>0</v>
      </c>
      <c r="L151" s="858"/>
      <c r="M151" s="853"/>
      <c r="N151" s="853"/>
      <c r="O151" s="853"/>
      <c r="P151" s="854"/>
      <c r="Q151" s="398"/>
      <c r="R151" s="398"/>
      <c r="S151" s="398"/>
      <c r="T151" s="398"/>
    </row>
    <row r="152" spans="1:20" s="17" customFormat="1" ht="15.75" thickTop="1" thickBot="1">
      <c r="A152" s="398"/>
      <c r="B152" s="398"/>
      <c r="C152" s="30" t="str">
        <f>$D$46</f>
        <v>Total</v>
      </c>
      <c r="D152" s="398"/>
      <c r="E152" s="398"/>
      <c r="F152" s="398"/>
      <c r="G152" s="437">
        <f>SUM(G140,G145,G151,G135)</f>
        <v>7.3661538461538445</v>
      </c>
      <c r="H152" s="438">
        <f>SUM(H140,H145,H151,H135)</f>
        <v>1.0523076923076924</v>
      </c>
      <c r="I152" s="430">
        <f>IWMix*(J152/G152)+TWMix*(K152/H152)</f>
        <v>0</v>
      </c>
      <c r="J152" s="431">
        <f>SUM(J140,J145,J151,J135)</f>
        <v>0</v>
      </c>
      <c r="K152" s="439">
        <f>SUM(K140,K145,K151,K135)</f>
        <v>0</v>
      </c>
      <c r="L152" s="398"/>
      <c r="M152" s="8"/>
      <c r="N152" s="398"/>
      <c r="O152" s="398"/>
      <c r="P152" s="398"/>
      <c r="Q152" s="398"/>
      <c r="R152" s="398"/>
      <c r="S152" s="398"/>
      <c r="T152" s="398"/>
    </row>
    <row r="153" spans="1:20" s="28" customFormat="1" ht="4.5" customHeight="1">
      <c r="A153" s="398"/>
      <c r="B153" s="398"/>
      <c r="C153" s="398"/>
      <c r="D153" s="398"/>
      <c r="E153" s="398"/>
      <c r="F153" s="398"/>
      <c r="G153" s="398"/>
      <c r="H153" s="398"/>
      <c r="I153" s="398"/>
      <c r="J153" s="398"/>
      <c r="K153" s="398"/>
      <c r="L153" s="398"/>
      <c r="M153" s="398"/>
      <c r="N153" s="398"/>
      <c r="O153" s="398"/>
      <c r="P153" s="398"/>
      <c r="Q153" s="398"/>
      <c r="R153" s="398"/>
      <c r="S153" s="398"/>
      <c r="T153" s="398"/>
    </row>
    <row r="154" spans="1:20" s="28" customFormat="1" ht="15" customHeight="1">
      <c r="A154" s="398"/>
      <c r="B154" s="6" t="str">
        <f>C35</f>
        <v>PC Systems Management</v>
      </c>
      <c r="C154" s="398"/>
      <c r="D154" s="398"/>
      <c r="E154" s="835" t="str">
        <f t="shared" ref="E154:J154" si="18">E93</f>
        <v>Time %</v>
      </c>
      <c r="F154" s="835"/>
      <c r="G154" s="835" t="str">
        <f t="shared" si="18"/>
        <v>Hours / Week</v>
      </c>
      <c r="H154" s="835"/>
      <c r="I154" s="835" t="str">
        <f t="shared" si="18"/>
        <v>Efficiency Improve-ment</v>
      </c>
      <c r="J154" s="835" t="str">
        <f t="shared" si="18"/>
        <v>Time Saved</v>
      </c>
      <c r="K154" s="835"/>
      <c r="L154" s="398"/>
      <c r="M154" s="398"/>
      <c r="N154" s="398"/>
      <c r="O154" s="398"/>
      <c r="P154" s="398"/>
      <c r="Q154" s="398"/>
      <c r="R154" s="398"/>
      <c r="S154" s="398"/>
      <c r="T154" s="398"/>
    </row>
    <row r="155" spans="1:20" s="28" customFormat="1" ht="25.5">
      <c r="A155" s="398"/>
      <c r="B155" s="398"/>
      <c r="C155" s="398"/>
      <c r="D155" s="671" t="str">
        <f t="shared" ref="D155:L155" si="19">D94</f>
        <v>Activity</v>
      </c>
      <c r="E155" s="671" t="str">
        <f t="shared" si="19"/>
        <v>Info Wrkr</v>
      </c>
      <c r="F155" s="671" t="str">
        <f t="shared" si="19"/>
        <v>Task Wrkr</v>
      </c>
      <c r="G155" s="671" t="str">
        <f t="shared" si="19"/>
        <v>Info Wrkr</v>
      </c>
      <c r="H155" s="671" t="str">
        <f t="shared" si="19"/>
        <v>Task Wrkr</v>
      </c>
      <c r="I155" s="835"/>
      <c r="J155" s="671" t="str">
        <f t="shared" si="19"/>
        <v>Info Wrkr</v>
      </c>
      <c r="K155" s="671" t="str">
        <f t="shared" si="19"/>
        <v>Task Wrkr</v>
      </c>
      <c r="L155" s="835" t="str">
        <f t="shared" si="19"/>
        <v>Comments</v>
      </c>
      <c r="M155" s="835"/>
      <c r="N155" s="835"/>
      <c r="O155" s="835"/>
      <c r="P155" s="835"/>
      <c r="Q155" s="398"/>
      <c r="R155" s="398"/>
      <c r="S155" s="398"/>
      <c r="T155" s="398"/>
    </row>
    <row r="156" spans="1:20" s="20" customFormat="1" ht="15" thickBot="1">
      <c r="A156" s="398"/>
      <c r="B156" s="398"/>
      <c r="C156" s="30" t="s">
        <v>563</v>
      </c>
      <c r="D156" s="398"/>
      <c r="E156" s="398"/>
      <c r="F156" s="398"/>
      <c r="G156" s="398"/>
      <c r="H156" s="398"/>
      <c r="I156" s="398"/>
      <c r="J156" s="398"/>
      <c r="K156" s="398"/>
      <c r="L156" s="639"/>
      <c r="M156" s="8"/>
      <c r="N156" s="398"/>
      <c r="O156" s="398"/>
      <c r="P156" s="398"/>
      <c r="Q156" s="398"/>
      <c r="R156" s="398"/>
      <c r="S156" s="398"/>
      <c r="T156" s="398"/>
    </row>
    <row r="157" spans="1:20" s="20" customFormat="1">
      <c r="A157" s="398"/>
      <c r="B157" s="398"/>
      <c r="C157" s="398"/>
      <c r="D157" s="163" t="s">
        <v>564</v>
      </c>
      <c r="E157" s="673">
        <v>0.2</v>
      </c>
      <c r="F157" s="475">
        <v>0.2</v>
      </c>
      <c r="G157" s="127">
        <f t="shared" ref="G157:H161" si="20">E157*G$36*60</f>
        <v>5.8929230769230783</v>
      </c>
      <c r="H157" s="164">
        <f t="shared" si="20"/>
        <v>3.3673846153846161</v>
      </c>
      <c r="I157" s="444">
        <f>Test!$E$102*30%</f>
        <v>0.03</v>
      </c>
      <c r="J157" s="127">
        <f t="shared" ref="J157:K161" si="21">$I157*G157</f>
        <v>0.17678769230769234</v>
      </c>
      <c r="K157" s="164">
        <f t="shared" si="21"/>
        <v>0.10102153846153848</v>
      </c>
      <c r="L157" s="857"/>
      <c r="M157" s="850"/>
      <c r="N157" s="850"/>
      <c r="O157" s="850"/>
      <c r="P157" s="851"/>
      <c r="Q157" s="398"/>
      <c r="R157" s="398"/>
      <c r="S157" s="398"/>
      <c r="T157" s="398"/>
    </row>
    <row r="158" spans="1:20" s="20" customFormat="1">
      <c r="A158" s="398"/>
      <c r="B158" s="398"/>
      <c r="C158" s="398"/>
      <c r="D158" s="163" t="s">
        <v>565</v>
      </c>
      <c r="E158" s="674">
        <v>0.15</v>
      </c>
      <c r="F158" s="477">
        <v>0.15</v>
      </c>
      <c r="G158" s="127">
        <f t="shared" si="20"/>
        <v>4.4196923076923085</v>
      </c>
      <c r="H158" s="164">
        <f t="shared" si="20"/>
        <v>2.5255384615384622</v>
      </c>
      <c r="I158" s="492">
        <f>Test!$E$102*30%</f>
        <v>0.03</v>
      </c>
      <c r="J158" s="127">
        <f t="shared" si="21"/>
        <v>0.13259076923076926</v>
      </c>
      <c r="K158" s="164">
        <f t="shared" si="21"/>
        <v>7.5766153846153858E-2</v>
      </c>
      <c r="L158" s="857"/>
      <c r="M158" s="850"/>
      <c r="N158" s="850"/>
      <c r="O158" s="850"/>
      <c r="P158" s="851"/>
      <c r="Q158" s="398"/>
      <c r="R158" s="398"/>
      <c r="S158" s="398"/>
      <c r="T158" s="398"/>
    </row>
    <row r="159" spans="1:20" s="20" customFormat="1">
      <c r="A159" s="398"/>
      <c r="B159" s="398"/>
      <c r="C159" s="398"/>
      <c r="D159" s="163" t="s">
        <v>566</v>
      </c>
      <c r="E159" s="674">
        <v>0.05</v>
      </c>
      <c r="F159" s="477">
        <v>0.05</v>
      </c>
      <c r="G159" s="127">
        <f t="shared" si="20"/>
        <v>1.4732307692307696</v>
      </c>
      <c r="H159" s="164">
        <f t="shared" si="20"/>
        <v>0.84184615384615402</v>
      </c>
      <c r="I159" s="492">
        <f>Test!$E$102*45%</f>
        <v>4.5000000000000005E-2</v>
      </c>
      <c r="J159" s="127">
        <f t="shared" si="21"/>
        <v>6.6295384615384645E-2</v>
      </c>
      <c r="K159" s="164">
        <f t="shared" si="21"/>
        <v>3.7883076923076936E-2</v>
      </c>
      <c r="L159" s="857"/>
      <c r="M159" s="850"/>
      <c r="N159" s="850"/>
      <c r="O159" s="850"/>
      <c r="P159" s="851"/>
      <c r="Q159" s="398"/>
      <c r="R159" s="398"/>
      <c r="S159" s="398"/>
      <c r="T159" s="398"/>
    </row>
    <row r="160" spans="1:20" s="20" customFormat="1" ht="13.5" thickBot="1">
      <c r="A160" s="398"/>
      <c r="B160" s="398"/>
      <c r="C160" s="398"/>
      <c r="D160" s="163" t="s">
        <v>567</v>
      </c>
      <c r="E160" s="668">
        <v>0.2</v>
      </c>
      <c r="F160" s="478">
        <v>0.2</v>
      </c>
      <c r="G160" s="127">
        <f t="shared" si="20"/>
        <v>5.8929230769230783</v>
      </c>
      <c r="H160" s="164">
        <f t="shared" si="20"/>
        <v>3.3673846153846161</v>
      </c>
      <c r="I160" s="492">
        <f>Test!$E$102*50%</f>
        <v>0.05</v>
      </c>
      <c r="J160" s="127">
        <f t="shared" si="21"/>
        <v>0.29464615384615395</v>
      </c>
      <c r="K160" s="164">
        <f t="shared" si="21"/>
        <v>0.16836923076923083</v>
      </c>
      <c r="L160" s="857"/>
      <c r="M160" s="850"/>
      <c r="N160" s="850"/>
      <c r="O160" s="850"/>
      <c r="P160" s="851"/>
      <c r="Q160" s="398"/>
      <c r="R160" s="398"/>
      <c r="S160" s="398"/>
      <c r="T160" s="398"/>
    </row>
    <row r="161" spans="1:20" s="20" customFormat="1" ht="26.25" thickBot="1">
      <c r="A161" s="398"/>
      <c r="B161" s="398"/>
      <c r="C161" s="398"/>
      <c r="D161" s="240" t="s">
        <v>568</v>
      </c>
      <c r="E161" s="238">
        <f>1-SUM(E157:E160)</f>
        <v>0.4</v>
      </c>
      <c r="F161" s="141">
        <f>1-SUM(F157:F160)</f>
        <v>0.4</v>
      </c>
      <c r="G161" s="127">
        <f t="shared" si="20"/>
        <v>11.785846153846157</v>
      </c>
      <c r="H161" s="164">
        <f t="shared" si="20"/>
        <v>6.7347692307692322</v>
      </c>
      <c r="I161" s="488">
        <f>Test!$E$102*12%</f>
        <v>1.2E-2</v>
      </c>
      <c r="J161" s="127">
        <f t="shared" si="21"/>
        <v>0.14143015384615387</v>
      </c>
      <c r="K161" s="164">
        <f t="shared" si="21"/>
        <v>8.0817230769230794E-2</v>
      </c>
      <c r="L161" s="857"/>
      <c r="M161" s="850"/>
      <c r="N161" s="850"/>
      <c r="O161" s="850"/>
      <c r="P161" s="851"/>
      <c r="Q161" s="398"/>
      <c r="R161" s="398"/>
      <c r="S161" s="398"/>
      <c r="T161" s="398"/>
    </row>
    <row r="162" spans="1:20" s="28" customFormat="1" ht="13.5" thickTop="1">
      <c r="A162" s="398"/>
      <c r="B162" s="398"/>
      <c r="C162" s="398"/>
      <c r="D162" s="702" t="s">
        <v>535</v>
      </c>
      <c r="E162" s="168">
        <f>SUM(E157:E161)</f>
        <v>1</v>
      </c>
      <c r="F162" s="233">
        <f>SUM(F157:F161)</f>
        <v>1</v>
      </c>
      <c r="G162" s="230">
        <f>SUM(G157:G161)</f>
        <v>29.464615384615392</v>
      </c>
      <c r="H162" s="230">
        <f>SUM(H157:H161)</f>
        <v>16.836923076923082</v>
      </c>
      <c r="I162" s="165">
        <f>IWMix*(J162/G162)+TWMix*(K162/H162)</f>
        <v>2.7550000000000002E-2</v>
      </c>
      <c r="J162" s="230">
        <f>SUM(J157:J161)</f>
        <v>0.81175015384615412</v>
      </c>
      <c r="K162" s="166">
        <f>SUM(K157:K161)</f>
        <v>0.46385723076923091</v>
      </c>
      <c r="L162" s="858"/>
      <c r="M162" s="853"/>
      <c r="N162" s="853"/>
      <c r="O162" s="853"/>
      <c r="P162" s="854"/>
      <c r="Q162" s="398"/>
      <c r="R162" s="398"/>
      <c r="S162" s="398"/>
      <c r="T162" s="398"/>
    </row>
    <row r="163" spans="1:20" s="28" customFormat="1" ht="4.5" customHeight="1">
      <c r="A163" s="398"/>
      <c r="B163" s="398"/>
      <c r="C163" s="398"/>
      <c r="D163" s="398"/>
      <c r="E163" s="398"/>
      <c r="F163" s="398"/>
      <c r="G163" s="273"/>
      <c r="H163" s="273"/>
      <c r="I163" s="398"/>
      <c r="J163" s="273"/>
      <c r="K163" s="273"/>
      <c r="L163" s="398"/>
      <c r="M163" s="398"/>
      <c r="N163" s="398"/>
      <c r="O163" s="398"/>
      <c r="P163" s="398"/>
      <c r="Q163" s="398"/>
      <c r="R163" s="398"/>
      <c r="S163" s="398"/>
      <c r="T163" s="398"/>
    </row>
    <row r="164" spans="1:20" s="20" customFormat="1" ht="15" thickBot="1">
      <c r="A164" s="398"/>
      <c r="B164" s="398"/>
      <c r="C164" s="30" t="s">
        <v>569</v>
      </c>
      <c r="D164" s="398"/>
      <c r="E164" s="398"/>
      <c r="F164" s="398"/>
      <c r="G164" s="273"/>
      <c r="H164" s="273"/>
      <c r="I164" s="398"/>
      <c r="J164" s="273"/>
      <c r="K164" s="273"/>
      <c r="L164" s="398"/>
      <c r="M164" s="8"/>
      <c r="N164" s="398"/>
      <c r="O164" s="398"/>
      <c r="P164" s="398"/>
      <c r="Q164" s="398"/>
      <c r="R164" s="398"/>
      <c r="S164" s="398"/>
      <c r="T164" s="398"/>
    </row>
    <row r="165" spans="1:20" s="20" customFormat="1">
      <c r="A165" s="398"/>
      <c r="B165" s="398"/>
      <c r="C165" s="398"/>
      <c r="D165" s="163" t="s">
        <v>570</v>
      </c>
      <c r="E165" s="673">
        <v>0.3</v>
      </c>
      <c r="F165" s="475">
        <v>0.3</v>
      </c>
      <c r="G165" s="127">
        <f t="shared" ref="G165:H167" si="22">E165*G$37*60</f>
        <v>6.3138461538461552</v>
      </c>
      <c r="H165" s="164">
        <f t="shared" si="22"/>
        <v>3.1569230769230776</v>
      </c>
      <c r="I165" s="444">
        <f>Test!$E$103*50%</f>
        <v>0.05</v>
      </c>
      <c r="J165" s="127">
        <f t="shared" ref="J165:K167" si="23">$I165*G165</f>
        <v>0.31569230769230777</v>
      </c>
      <c r="K165" s="164">
        <f t="shared" si="23"/>
        <v>0.15784615384615389</v>
      </c>
      <c r="L165" s="857"/>
      <c r="M165" s="850"/>
      <c r="N165" s="850"/>
      <c r="O165" s="850"/>
      <c r="P165" s="851"/>
      <c r="Q165" s="398"/>
      <c r="R165" s="398"/>
      <c r="S165" s="398"/>
      <c r="T165" s="398"/>
    </row>
    <row r="166" spans="1:20" s="31" customFormat="1" ht="13.5" thickBot="1">
      <c r="A166" s="398"/>
      <c r="B166" s="398"/>
      <c r="C166" s="398"/>
      <c r="D166" s="163" t="s">
        <v>571</v>
      </c>
      <c r="E166" s="668">
        <v>0.3</v>
      </c>
      <c r="F166" s="478">
        <v>0.3</v>
      </c>
      <c r="G166" s="127">
        <f t="shared" si="22"/>
        <v>6.3138461538461552</v>
      </c>
      <c r="H166" s="164">
        <f t="shared" si="22"/>
        <v>3.1569230769230776</v>
      </c>
      <c r="I166" s="492">
        <f>Test!$E$103*50%</f>
        <v>0.05</v>
      </c>
      <c r="J166" s="127">
        <f t="shared" si="23"/>
        <v>0.31569230769230777</v>
      </c>
      <c r="K166" s="164">
        <f t="shared" si="23"/>
        <v>0.15784615384615389</v>
      </c>
      <c r="L166" s="857"/>
      <c r="M166" s="850"/>
      <c r="N166" s="850"/>
      <c r="O166" s="850"/>
      <c r="P166" s="851"/>
      <c r="Q166" s="398"/>
      <c r="R166" s="398"/>
      <c r="S166" s="398"/>
      <c r="T166" s="398"/>
    </row>
    <row r="167" spans="1:20" s="20" customFormat="1" ht="13.5" thickBot="1">
      <c r="A167" s="398"/>
      <c r="B167" s="398"/>
      <c r="C167" s="398"/>
      <c r="D167" s="240" t="s">
        <v>572</v>
      </c>
      <c r="E167" s="238">
        <f>1-SUM(E165:E166)</f>
        <v>0.4</v>
      </c>
      <c r="F167" s="141">
        <f>1-SUM(F165:F166)</f>
        <v>0.4</v>
      </c>
      <c r="G167" s="127">
        <f t="shared" si="22"/>
        <v>8.4184615384615391</v>
      </c>
      <c r="H167" s="164">
        <f t="shared" si="22"/>
        <v>4.2092307692307696</v>
      </c>
      <c r="I167" s="488">
        <f>Test!$E$103*20%</f>
        <v>2.0000000000000004E-2</v>
      </c>
      <c r="J167" s="127">
        <f t="shared" si="23"/>
        <v>0.16836923076923083</v>
      </c>
      <c r="K167" s="164">
        <f t="shared" si="23"/>
        <v>8.4184615384615413E-2</v>
      </c>
      <c r="L167" s="857"/>
      <c r="M167" s="850"/>
      <c r="N167" s="850"/>
      <c r="O167" s="850"/>
      <c r="P167" s="851"/>
      <c r="Q167" s="398"/>
      <c r="R167" s="398"/>
      <c r="S167" s="398"/>
      <c r="T167" s="398"/>
    </row>
    <row r="168" spans="1:20" s="28" customFormat="1" ht="13.5" thickTop="1">
      <c r="A168" s="398"/>
      <c r="B168" s="398"/>
      <c r="C168" s="398"/>
      <c r="D168" s="702" t="s">
        <v>535</v>
      </c>
      <c r="E168" s="168">
        <f>SUM(E165:E167)</f>
        <v>1</v>
      </c>
      <c r="F168" s="233">
        <f>SUM(F165:F167)</f>
        <v>1</v>
      </c>
      <c r="G168" s="230">
        <f>SUM(G165:G167)</f>
        <v>21.04615384615385</v>
      </c>
      <c r="H168" s="230">
        <f>SUM(H165:H167)</f>
        <v>10.523076923076925</v>
      </c>
      <c r="I168" s="165">
        <f>IWMix*(J168/G168)+TWMix*(K168/H168)</f>
        <v>3.8000000000000006E-2</v>
      </c>
      <c r="J168" s="230">
        <f>SUM(J165:J167)</f>
        <v>0.79975384615384637</v>
      </c>
      <c r="K168" s="166">
        <f>SUM(K165:K167)</f>
        <v>0.39987692307692319</v>
      </c>
      <c r="L168" s="858"/>
      <c r="M168" s="853"/>
      <c r="N168" s="853"/>
      <c r="O168" s="853"/>
      <c r="P168" s="854"/>
      <c r="Q168" s="398"/>
      <c r="R168" s="398"/>
      <c r="S168" s="398"/>
      <c r="T168" s="398"/>
    </row>
    <row r="169" spans="1:20" s="28" customFormat="1" ht="4.5" customHeight="1">
      <c r="A169" s="398"/>
      <c r="B169" s="398"/>
      <c r="C169" s="398"/>
      <c r="D169" s="398"/>
      <c r="E169" s="398"/>
      <c r="F169" s="398"/>
      <c r="G169" s="273"/>
      <c r="H169" s="273"/>
      <c r="I169" s="398"/>
      <c r="J169" s="273"/>
      <c r="K169" s="273"/>
      <c r="L169" s="398"/>
      <c r="M169" s="398"/>
      <c r="N169" s="398"/>
      <c r="O169" s="398"/>
      <c r="P169" s="398"/>
      <c r="Q169" s="398"/>
      <c r="R169" s="398"/>
      <c r="S169" s="398"/>
      <c r="T169" s="398"/>
    </row>
    <row r="170" spans="1:20" s="20" customFormat="1" ht="15" thickBot="1">
      <c r="A170" s="398"/>
      <c r="B170" s="398"/>
      <c r="C170" s="30" t="s">
        <v>573</v>
      </c>
      <c r="D170" s="398"/>
      <c r="E170" s="398"/>
      <c r="F170" s="398"/>
      <c r="G170" s="273"/>
      <c r="H170" s="273"/>
      <c r="I170" s="398"/>
      <c r="J170" s="273"/>
      <c r="K170" s="273"/>
      <c r="L170" s="639"/>
      <c r="M170" s="8"/>
      <c r="N170" s="398"/>
      <c r="O170" s="398"/>
      <c r="P170" s="398"/>
      <c r="Q170" s="398"/>
      <c r="R170" s="398"/>
      <c r="S170" s="398"/>
      <c r="T170" s="398"/>
    </row>
    <row r="171" spans="1:20" s="20" customFormat="1" ht="25.5">
      <c r="A171" s="398"/>
      <c r="B171" s="398"/>
      <c r="C171" s="398"/>
      <c r="D171" s="163" t="s">
        <v>574</v>
      </c>
      <c r="E171" s="673">
        <v>0.2</v>
      </c>
      <c r="F171" s="475">
        <v>0.2</v>
      </c>
      <c r="G171" s="127">
        <f t="shared" ref="G171:H174" si="24">E171*G$38*60</f>
        <v>2.8622769230769238</v>
      </c>
      <c r="H171" s="164">
        <f t="shared" si="24"/>
        <v>0.50510769230769237</v>
      </c>
      <c r="I171" s="444">
        <f>Test!$E$104*25%</f>
        <v>1.8749999999999999E-2</v>
      </c>
      <c r="J171" s="127">
        <f t="shared" ref="J171:K174" si="25">$I171*G171</f>
        <v>5.3667692307692319E-2</v>
      </c>
      <c r="K171" s="164">
        <f t="shared" si="25"/>
        <v>9.4707692307692323E-3</v>
      </c>
      <c r="L171" s="857"/>
      <c r="M171" s="850"/>
      <c r="N171" s="850"/>
      <c r="O171" s="850"/>
      <c r="P171" s="851"/>
      <c r="Q171" s="398"/>
      <c r="R171" s="398"/>
      <c r="S171" s="398"/>
      <c r="T171" s="398"/>
    </row>
    <row r="172" spans="1:20" s="31" customFormat="1">
      <c r="A172" s="398"/>
      <c r="B172" s="398"/>
      <c r="C172" s="398"/>
      <c r="D172" s="163" t="s">
        <v>575</v>
      </c>
      <c r="E172" s="674">
        <v>0.15</v>
      </c>
      <c r="F172" s="477">
        <v>0.15</v>
      </c>
      <c r="G172" s="127">
        <f t="shared" si="24"/>
        <v>2.1467076923076926</v>
      </c>
      <c r="H172" s="164">
        <f t="shared" si="24"/>
        <v>0.3788307692307693</v>
      </c>
      <c r="I172" s="492">
        <f>Test!$E$104*30%</f>
        <v>2.2499999999999999E-2</v>
      </c>
      <c r="J172" s="127">
        <f t="shared" si="25"/>
        <v>4.8300923076923082E-2</v>
      </c>
      <c r="K172" s="164">
        <f t="shared" si="25"/>
        <v>8.5236923076923085E-3</v>
      </c>
      <c r="L172" s="857"/>
      <c r="M172" s="850"/>
      <c r="N172" s="850"/>
      <c r="O172" s="850"/>
      <c r="P172" s="851"/>
      <c r="Q172" s="398"/>
      <c r="R172" s="398"/>
      <c r="S172" s="398"/>
      <c r="T172" s="398"/>
    </row>
    <row r="173" spans="1:20" s="20" customFormat="1" ht="13.5" thickBot="1">
      <c r="A173" s="398"/>
      <c r="B173" s="398"/>
      <c r="C173" s="398"/>
      <c r="D173" s="163" t="s">
        <v>576</v>
      </c>
      <c r="E173" s="668">
        <v>0.45</v>
      </c>
      <c r="F173" s="478">
        <v>0.45</v>
      </c>
      <c r="G173" s="127">
        <f t="shared" si="24"/>
        <v>6.4401230769230784</v>
      </c>
      <c r="H173" s="164">
        <f t="shared" si="24"/>
        <v>1.1364923076923079</v>
      </c>
      <c r="I173" s="492">
        <f>Test!$E$104*30%</f>
        <v>2.2499999999999999E-2</v>
      </c>
      <c r="J173" s="127">
        <f t="shared" si="25"/>
        <v>0.14490276923076925</v>
      </c>
      <c r="K173" s="164">
        <f t="shared" si="25"/>
        <v>2.5571076923076926E-2</v>
      </c>
      <c r="L173" s="857"/>
      <c r="M173" s="850"/>
      <c r="N173" s="850"/>
      <c r="O173" s="850"/>
      <c r="P173" s="851"/>
      <c r="Q173" s="398"/>
      <c r="R173" s="398"/>
      <c r="S173" s="398"/>
      <c r="T173" s="398"/>
    </row>
    <row r="174" spans="1:20" s="20" customFormat="1" ht="13.5" thickBot="1">
      <c r="A174" s="398"/>
      <c r="B174" s="398"/>
      <c r="C174" s="398"/>
      <c r="D174" s="240" t="s">
        <v>577</v>
      </c>
      <c r="E174" s="238">
        <f>1-SUM(E171:E173)</f>
        <v>0.19999999999999996</v>
      </c>
      <c r="F174" s="141">
        <f>1-SUM(F171:F173)</f>
        <v>0.19999999999999996</v>
      </c>
      <c r="G174" s="127">
        <f t="shared" si="24"/>
        <v>2.8622769230769234</v>
      </c>
      <c r="H174" s="164">
        <f t="shared" si="24"/>
        <v>0.50510769230769226</v>
      </c>
      <c r="I174" s="488">
        <f>Test!$E$104*22%</f>
        <v>1.6500000000000001E-2</v>
      </c>
      <c r="J174" s="127">
        <f t="shared" si="25"/>
        <v>4.7227569230769241E-2</v>
      </c>
      <c r="K174" s="164">
        <f t="shared" si="25"/>
        <v>8.334276923076922E-3</v>
      </c>
      <c r="L174" s="857"/>
      <c r="M174" s="850"/>
      <c r="N174" s="850"/>
      <c r="O174" s="850"/>
      <c r="P174" s="851"/>
      <c r="Q174" s="398"/>
      <c r="R174" s="398"/>
      <c r="S174" s="398"/>
      <c r="T174" s="398"/>
    </row>
    <row r="175" spans="1:20" s="28" customFormat="1" ht="13.5" thickTop="1">
      <c r="A175" s="398"/>
      <c r="B175" s="398"/>
      <c r="C175" s="398"/>
      <c r="D175" s="702" t="s">
        <v>535</v>
      </c>
      <c r="E175" s="168">
        <f>SUM(E171:E174)</f>
        <v>1</v>
      </c>
      <c r="F175" s="233">
        <f>SUM(F171:F174)</f>
        <v>1</v>
      </c>
      <c r="G175" s="230">
        <f>SUM(G171:G174)</f>
        <v>14.311384615384618</v>
      </c>
      <c r="H175" s="230">
        <f>SUM(H171:H174)</f>
        <v>2.5255384615384617</v>
      </c>
      <c r="I175" s="165">
        <f>IWMix*(J175/G175)+TWMix*(K175/H175)</f>
        <v>2.0550000000000002E-2</v>
      </c>
      <c r="J175" s="230">
        <f>SUM(J171:J174)</f>
        <v>0.29409895384615392</v>
      </c>
      <c r="K175" s="166">
        <f>SUM(K171:K174)</f>
        <v>5.189981538461539E-2</v>
      </c>
      <c r="L175" s="858"/>
      <c r="M175" s="853"/>
      <c r="N175" s="853"/>
      <c r="O175" s="853"/>
      <c r="P175" s="854"/>
      <c r="Q175" s="398"/>
      <c r="R175" s="398"/>
      <c r="S175" s="398"/>
      <c r="T175" s="398"/>
    </row>
    <row r="176" spans="1:20" s="28" customFormat="1" ht="4.5" customHeight="1">
      <c r="A176" s="398"/>
      <c r="B176" s="398"/>
      <c r="C176" s="398"/>
      <c r="D176" s="398"/>
      <c r="E176" s="398"/>
      <c r="F176" s="398"/>
      <c r="G176" s="273"/>
      <c r="H176" s="273"/>
      <c r="I176" s="398"/>
      <c r="J176" s="273"/>
      <c r="K176" s="273"/>
      <c r="L176" s="398"/>
      <c r="M176" s="398"/>
      <c r="N176" s="398"/>
      <c r="O176" s="398"/>
      <c r="P176" s="398"/>
      <c r="Q176" s="398"/>
      <c r="R176" s="398"/>
      <c r="S176" s="398"/>
      <c r="T176" s="398"/>
    </row>
    <row r="177" spans="1:20" s="20" customFormat="1" ht="15" thickBot="1">
      <c r="A177" s="398"/>
      <c r="B177" s="398"/>
      <c r="C177" s="30" t="s">
        <v>578</v>
      </c>
      <c r="D177" s="398"/>
      <c r="E177" s="398"/>
      <c r="F177" s="398"/>
      <c r="G177" s="273"/>
      <c r="H177" s="273"/>
      <c r="I177" s="398"/>
      <c r="J177" s="273"/>
      <c r="K177" s="273"/>
      <c r="L177" s="639"/>
      <c r="M177" s="8"/>
      <c r="N177" s="398"/>
      <c r="O177" s="398"/>
      <c r="P177" s="398"/>
      <c r="Q177" s="398"/>
      <c r="R177" s="398"/>
      <c r="S177" s="398"/>
      <c r="T177" s="398"/>
    </row>
    <row r="178" spans="1:20" s="20" customFormat="1">
      <c r="A178" s="398"/>
      <c r="B178" s="398"/>
      <c r="C178" s="398"/>
      <c r="D178" s="163" t="s">
        <v>579</v>
      </c>
      <c r="E178" s="673">
        <v>0.9</v>
      </c>
      <c r="F178" s="475">
        <v>0.9</v>
      </c>
      <c r="G178" s="127">
        <f t="shared" ref="G178:H180" si="26">E178*G$39*60</f>
        <v>9.8496000000000024</v>
      </c>
      <c r="H178" s="164">
        <f t="shared" si="26"/>
        <v>5.6824615384615393</v>
      </c>
      <c r="I178" s="444">
        <f>Test!$E$105*25%</f>
        <v>3.125E-2</v>
      </c>
      <c r="J178" s="127">
        <f t="shared" ref="J178:K180" si="27">$I178*G178</f>
        <v>0.30780000000000007</v>
      </c>
      <c r="K178" s="164">
        <f t="shared" si="27"/>
        <v>0.1775769230769231</v>
      </c>
      <c r="L178" s="857"/>
      <c r="M178" s="850"/>
      <c r="N178" s="850"/>
      <c r="O178" s="850"/>
      <c r="P178" s="851"/>
      <c r="Q178" s="398"/>
      <c r="R178" s="398"/>
      <c r="S178" s="398"/>
      <c r="T178" s="398"/>
    </row>
    <row r="179" spans="1:20" s="20" customFormat="1" ht="13.5" thickBot="1">
      <c r="A179" s="398"/>
      <c r="B179" s="398"/>
      <c r="C179" s="398"/>
      <c r="D179" s="163" t="s">
        <v>580</v>
      </c>
      <c r="E179" s="668">
        <v>0.05</v>
      </c>
      <c r="F179" s="478">
        <v>0.05</v>
      </c>
      <c r="G179" s="127">
        <f t="shared" si="26"/>
        <v>0.54720000000000013</v>
      </c>
      <c r="H179" s="164">
        <f t="shared" si="26"/>
        <v>0.31569230769230783</v>
      </c>
      <c r="I179" s="492">
        <f>Test!$E$105*35%</f>
        <v>4.3749999999999997E-2</v>
      </c>
      <c r="J179" s="127">
        <f t="shared" si="27"/>
        <v>2.3940000000000003E-2</v>
      </c>
      <c r="K179" s="164">
        <f t="shared" si="27"/>
        <v>1.3811538461538467E-2</v>
      </c>
      <c r="L179" s="857"/>
      <c r="M179" s="850"/>
      <c r="N179" s="850"/>
      <c r="O179" s="850"/>
      <c r="P179" s="851"/>
      <c r="Q179" s="398"/>
      <c r="R179" s="398"/>
      <c r="S179" s="398"/>
      <c r="T179" s="398"/>
    </row>
    <row r="180" spans="1:20" s="20" customFormat="1" ht="13.5" thickBot="1">
      <c r="A180" s="398"/>
      <c r="B180" s="398"/>
      <c r="C180" s="398"/>
      <c r="D180" s="240" t="s">
        <v>581</v>
      </c>
      <c r="E180" s="238">
        <f>1-SUM(E178:E179)</f>
        <v>4.9999999999999933E-2</v>
      </c>
      <c r="F180" s="141">
        <f>1-SUM(F178:F179)</f>
        <v>4.9999999999999933E-2</v>
      </c>
      <c r="G180" s="127">
        <f t="shared" si="26"/>
        <v>0.54719999999999935</v>
      </c>
      <c r="H180" s="164">
        <f t="shared" si="26"/>
        <v>0.31569230769230733</v>
      </c>
      <c r="I180" s="488">
        <f>Test!$E$105*35%</f>
        <v>4.3749999999999997E-2</v>
      </c>
      <c r="J180" s="127">
        <f t="shared" si="27"/>
        <v>2.3939999999999972E-2</v>
      </c>
      <c r="K180" s="164">
        <f t="shared" si="27"/>
        <v>1.3811538461538445E-2</v>
      </c>
      <c r="L180" s="857"/>
      <c r="M180" s="850"/>
      <c r="N180" s="850"/>
      <c r="O180" s="850"/>
      <c r="P180" s="851"/>
      <c r="Q180" s="398"/>
      <c r="R180" s="398"/>
      <c r="S180" s="398"/>
      <c r="T180" s="398"/>
    </row>
    <row r="181" spans="1:20" s="28" customFormat="1" ht="13.5" thickTop="1">
      <c r="A181" s="398"/>
      <c r="B181" s="398"/>
      <c r="C181" s="398"/>
      <c r="D181" s="702" t="s">
        <v>535</v>
      </c>
      <c r="E181" s="168">
        <f>SUM(E178:E180)</f>
        <v>1</v>
      </c>
      <c r="F181" s="233">
        <f>SUM(F178:F180)</f>
        <v>1</v>
      </c>
      <c r="G181" s="230">
        <f>SUM(G178:G180)</f>
        <v>10.944000000000003</v>
      </c>
      <c r="H181" s="230">
        <f>SUM(H178:H180)</f>
        <v>6.3138461538461543</v>
      </c>
      <c r="I181" s="165">
        <f>IWMix*(J181/G181)+TWMix*(K181/H181)</f>
        <v>3.2499999999999994E-2</v>
      </c>
      <c r="J181" s="230">
        <f>SUM(J178:J180)</f>
        <v>0.35568000000000005</v>
      </c>
      <c r="K181" s="166">
        <f>SUM(K178:K180)</f>
        <v>0.20519999999999999</v>
      </c>
      <c r="L181" s="858"/>
      <c r="M181" s="853"/>
      <c r="N181" s="853"/>
      <c r="O181" s="853"/>
      <c r="P181" s="854"/>
      <c r="Q181" s="398"/>
      <c r="R181" s="398"/>
      <c r="S181" s="398"/>
      <c r="T181" s="398"/>
    </row>
    <row r="182" spans="1:20" s="28" customFormat="1" ht="4.5" customHeight="1">
      <c r="A182" s="398"/>
      <c r="B182" s="398"/>
      <c r="C182" s="398"/>
      <c r="D182" s="398"/>
      <c r="E182" s="398"/>
      <c r="F182" s="398"/>
      <c r="G182" s="273"/>
      <c r="H182" s="273"/>
      <c r="I182" s="398"/>
      <c r="J182" s="273"/>
      <c r="K182" s="273"/>
      <c r="L182" s="398"/>
      <c r="M182" s="398"/>
      <c r="N182" s="398"/>
      <c r="O182" s="398"/>
      <c r="P182" s="398"/>
      <c r="Q182" s="398"/>
      <c r="R182" s="398"/>
      <c r="S182" s="398"/>
      <c r="T182" s="398"/>
    </row>
    <row r="183" spans="1:20" s="20" customFormat="1" ht="15" thickBot="1">
      <c r="A183" s="398"/>
      <c r="B183" s="398"/>
      <c r="C183" s="30" t="s">
        <v>582</v>
      </c>
      <c r="D183" s="398"/>
      <c r="E183" s="398"/>
      <c r="F183" s="398"/>
      <c r="G183" s="273"/>
      <c r="H183" s="273"/>
      <c r="I183" s="398"/>
      <c r="J183" s="273"/>
      <c r="K183" s="273"/>
      <c r="L183" s="639"/>
      <c r="M183" s="8"/>
      <c r="N183" s="398"/>
      <c r="O183" s="398"/>
      <c r="P183" s="398"/>
      <c r="Q183" s="398"/>
      <c r="R183" s="398"/>
      <c r="S183" s="398"/>
      <c r="T183" s="398"/>
    </row>
    <row r="184" spans="1:20" s="20" customFormat="1" ht="13.5" thickBot="1">
      <c r="A184" s="398"/>
      <c r="B184" s="398"/>
      <c r="C184" s="398"/>
      <c r="D184" s="163" t="s">
        <v>583</v>
      </c>
      <c r="E184" s="480">
        <v>0.75</v>
      </c>
      <c r="F184" s="482">
        <v>0.75</v>
      </c>
      <c r="G184" s="127">
        <f>E184*G$40*60</f>
        <v>3.7883076923076926</v>
      </c>
      <c r="H184" s="164">
        <f>F184*H$40*60</f>
        <v>2.5255384615384622</v>
      </c>
      <c r="I184" s="444">
        <f>Test!$E$106*25%</f>
        <v>0</v>
      </c>
      <c r="J184" s="127">
        <f>$I184*G184</f>
        <v>0</v>
      </c>
      <c r="K184" s="164">
        <f>$I184*H184</f>
        <v>0</v>
      </c>
      <c r="L184" s="857"/>
      <c r="M184" s="850"/>
      <c r="N184" s="850"/>
      <c r="O184" s="850"/>
      <c r="P184" s="851"/>
      <c r="Q184" s="398"/>
      <c r="R184" s="398"/>
      <c r="S184" s="398"/>
      <c r="T184" s="398"/>
    </row>
    <row r="185" spans="1:20" s="20" customFormat="1" ht="13.5" thickBot="1">
      <c r="A185" s="398"/>
      <c r="B185" s="398"/>
      <c r="C185" s="398"/>
      <c r="D185" s="240" t="s">
        <v>584</v>
      </c>
      <c r="E185" s="238">
        <f>1-SUM(E184)</f>
        <v>0.25</v>
      </c>
      <c r="F185" s="141">
        <f>1-SUM(F184)</f>
        <v>0.25</v>
      </c>
      <c r="G185" s="127">
        <f>E185*G$40*60</f>
        <v>1.2627692307692311</v>
      </c>
      <c r="H185" s="164">
        <f>F185*H$40*60</f>
        <v>0.84184615384615402</v>
      </c>
      <c r="I185" s="488">
        <f>Test!$E$106*25%</f>
        <v>0</v>
      </c>
      <c r="J185" s="127">
        <f>$I185*G185</f>
        <v>0</v>
      </c>
      <c r="K185" s="164">
        <f>$I185*H185</f>
        <v>0</v>
      </c>
      <c r="L185" s="857"/>
      <c r="M185" s="850"/>
      <c r="N185" s="850"/>
      <c r="O185" s="850"/>
      <c r="P185" s="851"/>
      <c r="Q185" s="398"/>
      <c r="R185" s="398"/>
      <c r="S185" s="398"/>
      <c r="T185" s="398"/>
    </row>
    <row r="186" spans="1:20" s="28" customFormat="1" ht="13.5" thickTop="1">
      <c r="A186" s="398"/>
      <c r="B186" s="398"/>
      <c r="C186" s="398"/>
      <c r="D186" s="702" t="s">
        <v>535</v>
      </c>
      <c r="E186" s="168">
        <f>SUM(E184:E185)</f>
        <v>1</v>
      </c>
      <c r="F186" s="233">
        <f>SUM(F184:F185)</f>
        <v>1</v>
      </c>
      <c r="G186" s="230">
        <f>SUM(G184:G185)</f>
        <v>5.0510769230769235</v>
      </c>
      <c r="H186" s="230">
        <f>SUM(H184:H185)</f>
        <v>3.3673846153846161</v>
      </c>
      <c r="I186" s="165">
        <f>IWMix*(J186/G186)+TWMix*(K186/H186)</f>
        <v>0</v>
      </c>
      <c r="J186" s="230">
        <f>SUM(J184:J185)</f>
        <v>0</v>
      </c>
      <c r="K186" s="166">
        <f>SUM(K184:K185)</f>
        <v>0</v>
      </c>
      <c r="L186" s="858"/>
      <c r="M186" s="853"/>
      <c r="N186" s="853"/>
      <c r="O186" s="853"/>
      <c r="P186" s="854"/>
      <c r="Q186" s="398"/>
      <c r="R186" s="398"/>
      <c r="S186" s="398"/>
      <c r="T186" s="398"/>
    </row>
    <row r="187" spans="1:20" s="28" customFormat="1" ht="4.5" customHeight="1">
      <c r="A187" s="398"/>
      <c r="B187" s="398"/>
      <c r="C187" s="398"/>
      <c r="D187" s="398"/>
      <c r="E187" s="398"/>
      <c r="F187" s="398"/>
      <c r="G187" s="273"/>
      <c r="H187" s="273"/>
      <c r="I187" s="398"/>
      <c r="J187" s="273"/>
      <c r="K187" s="273"/>
      <c r="L187" s="398"/>
      <c r="M187" s="398"/>
      <c r="N187" s="398"/>
      <c r="O187" s="398"/>
      <c r="P187" s="398"/>
      <c r="Q187" s="398"/>
      <c r="R187" s="398"/>
      <c r="S187" s="398"/>
      <c r="T187" s="398"/>
    </row>
    <row r="188" spans="1:20" s="20" customFormat="1" ht="15" thickBot="1">
      <c r="A188" s="398"/>
      <c r="B188" s="398"/>
      <c r="C188" s="30" t="s">
        <v>585</v>
      </c>
      <c r="D188" s="398"/>
      <c r="E188" s="398"/>
      <c r="F188" s="398"/>
      <c r="G188" s="273"/>
      <c r="H188" s="273"/>
      <c r="I188" s="398"/>
      <c r="J188" s="273"/>
      <c r="K188" s="273"/>
      <c r="L188" s="639"/>
      <c r="M188" s="8"/>
      <c r="N188" s="398"/>
      <c r="O188" s="398"/>
      <c r="P188" s="398"/>
      <c r="Q188" s="398"/>
      <c r="R188" s="398"/>
      <c r="S188" s="398"/>
      <c r="T188" s="398"/>
    </row>
    <row r="189" spans="1:20" s="20" customFormat="1" ht="13.5" thickBot="1">
      <c r="A189" s="398"/>
      <c r="B189" s="398"/>
      <c r="C189" s="398"/>
      <c r="D189" s="163" t="s">
        <v>586</v>
      </c>
      <c r="E189" s="480">
        <v>0.7</v>
      </c>
      <c r="F189" s="482">
        <v>0.7</v>
      </c>
      <c r="G189" s="127">
        <f>E189*G$41*60</f>
        <v>2.3571692307692333</v>
      </c>
      <c r="H189" s="164">
        <f>F189*H$41*60</f>
        <v>1.7678769230769247</v>
      </c>
      <c r="I189" s="444">
        <f>Test!$E$107*35%</f>
        <v>6.1249999999999992E-2</v>
      </c>
      <c r="J189" s="127">
        <f>$I189*G189</f>
        <v>0.14437661538461552</v>
      </c>
      <c r="K189" s="164">
        <f>$I189*H189</f>
        <v>0.10828246153846162</v>
      </c>
      <c r="L189" s="857"/>
      <c r="M189" s="850"/>
      <c r="N189" s="850"/>
      <c r="O189" s="850"/>
      <c r="P189" s="851"/>
      <c r="Q189" s="398"/>
      <c r="R189" s="398"/>
      <c r="S189" s="398"/>
      <c r="T189" s="398"/>
    </row>
    <row r="190" spans="1:20" s="20" customFormat="1" ht="13.5" thickBot="1">
      <c r="A190" s="398"/>
      <c r="B190" s="398"/>
      <c r="C190" s="398"/>
      <c r="D190" s="240" t="s">
        <v>587</v>
      </c>
      <c r="E190" s="238">
        <f>1-SUM(E189)</f>
        <v>0.30000000000000004</v>
      </c>
      <c r="F190" s="141">
        <f>1-SUM(F189)</f>
        <v>0.30000000000000004</v>
      </c>
      <c r="G190" s="127">
        <f>E190*G$41*60</f>
        <v>1.0102153846153858</v>
      </c>
      <c r="H190" s="164">
        <f>F190*H$41*60</f>
        <v>0.75766153846153939</v>
      </c>
      <c r="I190" s="488">
        <f>Test!$E$107*35%</f>
        <v>6.1249999999999992E-2</v>
      </c>
      <c r="J190" s="127">
        <f>$I190*G190</f>
        <v>6.1875692307692375E-2</v>
      </c>
      <c r="K190" s="164">
        <f>$I190*H190</f>
        <v>4.6406769230769279E-2</v>
      </c>
      <c r="L190" s="857"/>
      <c r="M190" s="850"/>
      <c r="N190" s="850"/>
      <c r="O190" s="850"/>
      <c r="P190" s="851"/>
      <c r="Q190" s="398"/>
      <c r="R190" s="398"/>
      <c r="S190" s="398"/>
      <c r="T190" s="398"/>
    </row>
    <row r="191" spans="1:20" s="28" customFormat="1" ht="13.5" thickTop="1">
      <c r="A191" s="398"/>
      <c r="B191" s="398"/>
      <c r="C191" s="398"/>
      <c r="D191" s="702" t="s">
        <v>535</v>
      </c>
      <c r="E191" s="168">
        <f>SUM(E189:E190)</f>
        <v>1</v>
      </c>
      <c r="F191" s="233">
        <f>SUM(F189:F190)</f>
        <v>1</v>
      </c>
      <c r="G191" s="230">
        <f>SUM(G189:G190)</f>
        <v>3.3673846153846192</v>
      </c>
      <c r="H191" s="230">
        <f>SUM(H189:H190)</f>
        <v>2.525538461538464</v>
      </c>
      <c r="I191" s="165">
        <f>IWMix*(J191/G191)+TWMix*(K191/H191)</f>
        <v>6.1249999999999999E-2</v>
      </c>
      <c r="J191" s="230">
        <f>SUM(J189:J190)</f>
        <v>0.2062523076923079</v>
      </c>
      <c r="K191" s="166">
        <f>SUM(K189:K190)</f>
        <v>0.15468923076923091</v>
      </c>
      <c r="L191" s="858"/>
      <c r="M191" s="853"/>
      <c r="N191" s="853"/>
      <c r="O191" s="853"/>
      <c r="P191" s="854"/>
      <c r="Q191" s="398"/>
      <c r="R191" s="398"/>
      <c r="S191" s="398"/>
      <c r="T191" s="398"/>
    </row>
    <row r="192" spans="1:20" s="28" customFormat="1" ht="4.5" customHeight="1" thickBot="1">
      <c r="A192" s="398"/>
      <c r="B192" s="398"/>
      <c r="C192" s="398"/>
      <c r="D192" s="398"/>
      <c r="E192" s="398"/>
      <c r="F192" s="398"/>
      <c r="G192" s="398"/>
      <c r="H192" s="398"/>
      <c r="I192" s="398"/>
      <c r="J192" s="398"/>
      <c r="K192" s="398"/>
      <c r="L192" s="398"/>
      <c r="M192" s="398"/>
      <c r="N192" s="398"/>
      <c r="O192" s="398"/>
      <c r="P192" s="398"/>
      <c r="Q192" s="398"/>
      <c r="R192" s="398"/>
      <c r="S192" s="398"/>
      <c r="T192" s="398"/>
    </row>
    <row r="193" spans="1:20" s="20" customFormat="1" ht="15" thickTop="1">
      <c r="A193" s="398"/>
      <c r="B193" s="398"/>
      <c r="C193" s="30" t="s">
        <v>588</v>
      </c>
      <c r="D193" s="398"/>
      <c r="E193" s="398"/>
      <c r="F193" s="398"/>
      <c r="G193" s="230">
        <f>SUM(G168,G191,G181,G175,G186,G162)/60</f>
        <v>1.4030769230769233</v>
      </c>
      <c r="H193" s="230">
        <f>SUM(H168,H191,H181,H175,H186,H162)/60</f>
        <v>0.70153846153846167</v>
      </c>
      <c r="I193" s="179">
        <f>IWMix*(J193/G193)+TWMix*(K193/H193)</f>
        <v>2.9861978645782796E-2</v>
      </c>
      <c r="J193" s="230">
        <f>SUM(J168,J191,J181,J175,J186,J162)/60</f>
        <v>4.1125587692307702E-2</v>
      </c>
      <c r="K193" s="230">
        <f>SUM(K168,K191,K181,K175,K186,K162)/60</f>
        <v>2.1258720000000009E-2</v>
      </c>
      <c r="L193" s="639"/>
      <c r="M193" s="8"/>
      <c r="N193" s="398"/>
      <c r="O193" s="398"/>
      <c r="P193" s="398"/>
      <c r="Q193" s="398"/>
      <c r="R193" s="398"/>
      <c r="S193" s="398"/>
      <c r="T193" s="398"/>
    </row>
    <row r="194" spans="1:20" s="28" customFormat="1" ht="4.5" customHeight="1" thickBot="1">
      <c r="A194" s="398"/>
      <c r="B194" s="398"/>
      <c r="C194" s="398"/>
      <c r="D194" s="398"/>
      <c r="E194" s="398"/>
      <c r="F194" s="398"/>
      <c r="G194" s="398"/>
      <c r="H194" s="398"/>
      <c r="I194" s="398"/>
      <c r="J194" s="398"/>
      <c r="K194" s="398"/>
      <c r="L194" s="398"/>
      <c r="M194" s="398"/>
      <c r="N194" s="398"/>
      <c r="O194" s="398"/>
      <c r="P194" s="398"/>
      <c r="Q194" s="398"/>
      <c r="R194" s="398"/>
      <c r="S194" s="398"/>
      <c r="T194" s="398"/>
    </row>
    <row r="195" spans="1:20" s="17" customFormat="1" ht="15.75" thickTop="1">
      <c r="A195" s="398"/>
      <c r="B195" s="6" t="str">
        <f>D44</f>
        <v>Non-Computing-Related Activities</v>
      </c>
      <c r="C195" s="398"/>
      <c r="D195" s="398"/>
      <c r="E195" s="398"/>
      <c r="F195" s="398"/>
      <c r="G195" s="230">
        <f>E18*WorkHrs/52</f>
        <v>15.083076923076922</v>
      </c>
      <c r="H195" s="166">
        <f>F18*WorkHrs/52</f>
        <v>22.800000000000004</v>
      </c>
      <c r="I195" s="179">
        <f>0</f>
        <v>0</v>
      </c>
      <c r="J195" s="224">
        <f>$I195*G195</f>
        <v>0</v>
      </c>
      <c r="K195" s="230">
        <f>$I195*H195</f>
        <v>0</v>
      </c>
      <c r="L195" s="398"/>
      <c r="M195" s="398"/>
      <c r="N195" s="398"/>
      <c r="O195" s="398"/>
      <c r="P195" s="398"/>
      <c r="Q195" s="398"/>
      <c r="R195" s="398"/>
      <c r="S195" s="398"/>
      <c r="T195" s="398"/>
    </row>
    <row r="196" spans="1:20" s="28" customFormat="1" ht="4.5" customHeight="1" thickBot="1">
      <c r="A196" s="398"/>
      <c r="B196" s="398"/>
      <c r="C196" s="398"/>
      <c r="D196" s="398"/>
      <c r="E196" s="398"/>
      <c r="F196" s="398"/>
      <c r="G196" s="398"/>
      <c r="H196" s="398"/>
      <c r="I196" s="398"/>
      <c r="J196" s="398"/>
      <c r="K196" s="398"/>
      <c r="L196" s="398"/>
      <c r="M196" s="398"/>
      <c r="N196" s="398"/>
      <c r="O196" s="398"/>
      <c r="P196" s="398"/>
      <c r="Q196" s="398"/>
      <c r="R196" s="398"/>
      <c r="S196" s="398"/>
      <c r="T196" s="398"/>
    </row>
    <row r="197" spans="1:20" s="17" customFormat="1" ht="15.75" thickTop="1">
      <c r="A197" s="398"/>
      <c r="B197" s="6" t="str">
        <f>$D$46</f>
        <v>Total</v>
      </c>
      <c r="C197" s="398"/>
      <c r="D197" s="398"/>
      <c r="E197" s="398"/>
      <c r="F197" s="398"/>
      <c r="G197" s="229">
        <f>SUM(G127,G152,G193,G195)</f>
        <v>35.07692307692308</v>
      </c>
      <c r="H197" s="229">
        <f>SUM(H127,H152,H193,H195)</f>
        <v>35.07692307692308</v>
      </c>
      <c r="I197" s="179">
        <f>IWMix*(J197/G197)+TWMix*(K197/H197)</f>
        <v>1.9448291065669696E-3</v>
      </c>
      <c r="J197" s="229">
        <f>SUM(J127,J152,J193,J195)</f>
        <v>5.8523741538461557E-2</v>
      </c>
      <c r="K197" s="229">
        <f>SUM(K127,K152,K193,K195)</f>
        <v>7.5978720000000013E-2</v>
      </c>
      <c r="L197" s="398"/>
      <c r="M197" s="398"/>
      <c r="N197" s="398"/>
      <c r="O197" s="398"/>
      <c r="P197" s="398"/>
      <c r="Q197" s="398"/>
      <c r="R197" s="398"/>
      <c r="S197" s="398"/>
      <c r="T197" s="398"/>
    </row>
    <row r="198" spans="1:20">
      <c r="A198" s="398"/>
      <c r="B198" s="398"/>
      <c r="C198" s="398"/>
      <c r="D198" s="398"/>
      <c r="E198" s="398"/>
      <c r="F198" s="398"/>
      <c r="G198" s="231"/>
      <c r="H198" s="231"/>
      <c r="I198" s="18"/>
      <c r="J198" s="231"/>
      <c r="K198" s="231"/>
      <c r="L198" s="398"/>
      <c r="M198" s="398"/>
      <c r="N198" s="398"/>
      <c r="O198" s="398"/>
      <c r="P198" s="398"/>
      <c r="Q198" s="398"/>
      <c r="R198" s="398"/>
      <c r="S198" s="398"/>
      <c r="T198" s="398"/>
    </row>
    <row r="199" spans="1:20">
      <c r="A199" s="398"/>
      <c r="B199" s="398"/>
      <c r="C199" s="398"/>
      <c r="D199" s="398"/>
      <c r="E199" s="398"/>
      <c r="F199" s="398"/>
      <c r="G199" s="398"/>
      <c r="H199" s="398"/>
      <c r="I199" s="398"/>
      <c r="J199" s="398"/>
      <c r="K199" s="398"/>
      <c r="L199" s="398"/>
      <c r="M199" s="398"/>
      <c r="N199" s="398"/>
      <c r="O199" s="398"/>
      <c r="P199" s="398"/>
      <c r="Q199" s="398"/>
      <c r="R199" s="398"/>
      <c r="S199" s="398"/>
      <c r="T199" s="398"/>
    </row>
    <row r="200" spans="1:20" ht="22.5">
      <c r="A200" s="3" t="s">
        <v>589</v>
      </c>
      <c r="B200" s="398"/>
      <c r="C200" s="398"/>
      <c r="D200" s="398"/>
      <c r="E200" s="398"/>
      <c r="F200" s="398"/>
      <c r="G200" s="398"/>
      <c r="H200" s="398"/>
      <c r="I200" s="398"/>
      <c r="J200" s="398"/>
      <c r="K200" s="398"/>
      <c r="L200" s="398"/>
      <c r="M200" s="398"/>
      <c r="N200" s="398"/>
      <c r="O200" s="398"/>
      <c r="P200" s="398"/>
      <c r="Q200" s="398"/>
      <c r="R200" s="398"/>
      <c r="S200" s="398"/>
      <c r="T200" s="398"/>
    </row>
    <row r="201" spans="1:20" ht="24.75" customHeight="1">
      <c r="A201" s="398"/>
      <c r="B201" s="788" t="s">
        <v>590</v>
      </c>
      <c r="C201" s="788"/>
      <c r="D201" s="788"/>
      <c r="E201" s="788"/>
      <c r="F201" s="788"/>
      <c r="G201" s="788"/>
      <c r="H201" s="788"/>
      <c r="I201" s="788"/>
      <c r="J201" s="788"/>
      <c r="K201" s="788"/>
      <c r="L201" s="788"/>
      <c r="M201" s="788"/>
      <c r="N201" s="788"/>
      <c r="O201" s="788"/>
      <c r="P201" s="788"/>
      <c r="Q201" s="398"/>
      <c r="R201" s="398"/>
      <c r="S201" s="398"/>
      <c r="T201" s="398"/>
    </row>
    <row r="202" spans="1:20" ht="12.75" customHeight="1">
      <c r="A202" s="398"/>
      <c r="B202" s="398"/>
      <c r="C202" s="398"/>
      <c r="D202" s="398"/>
      <c r="E202" s="841" t="s">
        <v>591</v>
      </c>
      <c r="F202" s="796"/>
      <c r="G202" s="841"/>
      <c r="H202" s="860"/>
      <c r="I202" s="835" t="s">
        <v>592</v>
      </c>
      <c r="J202" s="783"/>
      <c r="K202" s="835"/>
      <c r="L202" s="782"/>
      <c r="M202" s="835" t="s">
        <v>593</v>
      </c>
      <c r="N202" s="783"/>
      <c r="O202" s="835"/>
      <c r="P202" s="835"/>
      <c r="Q202" s="398"/>
      <c r="R202" s="398"/>
      <c r="S202" s="398"/>
      <c r="T202" s="398"/>
    </row>
    <row r="203" spans="1:20" ht="25.5">
      <c r="A203" s="398"/>
      <c r="B203" s="398"/>
      <c r="C203" s="398"/>
      <c r="D203" s="398"/>
      <c r="E203" s="680" t="s">
        <v>340</v>
      </c>
      <c r="F203" s="680" t="s">
        <v>341</v>
      </c>
      <c r="G203" s="680" t="s">
        <v>594</v>
      </c>
      <c r="H203" s="671" t="s">
        <v>343</v>
      </c>
      <c r="I203" s="692" t="str">
        <f t="shared" ref="I203:P203" si="28">E203</f>
        <v>As-Is</v>
      </c>
      <c r="J203" s="671" t="str">
        <f t="shared" si="28"/>
        <v>To-Be</v>
      </c>
      <c r="K203" s="671" t="str">
        <f t="shared" si="28"/>
        <v>Saved</v>
      </c>
      <c r="L203" s="671" t="str">
        <f t="shared" si="28"/>
        <v>% Savings</v>
      </c>
      <c r="M203" s="694" t="str">
        <f t="shared" si="28"/>
        <v>As-Is</v>
      </c>
      <c r="N203" s="671" t="str">
        <f t="shared" si="28"/>
        <v>To-Be</v>
      </c>
      <c r="O203" s="671" t="str">
        <f t="shared" si="28"/>
        <v>Saved</v>
      </c>
      <c r="P203" s="671" t="str">
        <f t="shared" si="28"/>
        <v>% Savings</v>
      </c>
      <c r="Q203" s="398"/>
      <c r="R203" s="398"/>
      <c r="S203" s="398"/>
      <c r="T203" s="398"/>
    </row>
    <row r="204" spans="1:20" ht="14.25">
      <c r="A204" s="398"/>
      <c r="B204" s="398"/>
      <c r="C204" s="8" t="str">
        <f>C22</f>
        <v>Individual Computing</v>
      </c>
      <c r="D204" s="398"/>
      <c r="E204" s="398"/>
      <c r="F204" s="398"/>
      <c r="G204" s="398"/>
      <c r="H204" s="398"/>
      <c r="I204" s="398"/>
      <c r="J204" s="398"/>
      <c r="K204" s="398"/>
      <c r="L204" s="398"/>
      <c r="M204" s="398"/>
      <c r="N204" s="398"/>
      <c r="O204" s="398"/>
      <c r="P204" s="398"/>
      <c r="Q204" s="398"/>
      <c r="R204" s="398"/>
      <c r="S204" s="398"/>
      <c r="T204" s="398"/>
    </row>
    <row r="205" spans="1:20">
      <c r="A205" s="398"/>
      <c r="B205" s="398"/>
      <c r="C205" s="398"/>
      <c r="D205" s="36" t="str">
        <f>D23</f>
        <v>Document Creation</v>
      </c>
      <c r="E205" s="104">
        <f>Productivity!G101</f>
        <v>2.8061538461538467</v>
      </c>
      <c r="F205" s="104">
        <f>E205-G205</f>
        <v>2.8061538461538467</v>
      </c>
      <c r="G205" s="232">
        <f>Productivity!J101</f>
        <v>0</v>
      </c>
      <c r="H205" s="171">
        <f t="shared" ref="H205:H210" si="29">G205/E205</f>
        <v>0</v>
      </c>
      <c r="I205" s="104">
        <f>Productivity!H101</f>
        <v>2.9464615384615387</v>
      </c>
      <c r="J205" s="104">
        <f>I205-K205</f>
        <v>2.9464615384615387</v>
      </c>
      <c r="K205" s="232">
        <f>Productivity!K101</f>
        <v>0</v>
      </c>
      <c r="L205" s="171">
        <f t="shared" ref="L205:L210" si="30">K205/I205</f>
        <v>0</v>
      </c>
      <c r="M205" s="104">
        <f>E205*IWMix+I205*TWMix</f>
        <v>2.8840838283117103</v>
      </c>
      <c r="N205" s="104">
        <f>M205-O205</f>
        <v>2.8840838283117103</v>
      </c>
      <c r="O205" s="104">
        <f>G205*IWMix+K205*TWMix</f>
        <v>0</v>
      </c>
      <c r="P205" s="171">
        <f t="shared" ref="P205:P210" si="31">O205/M205</f>
        <v>0</v>
      </c>
      <c r="Q205" s="398"/>
      <c r="R205" s="398"/>
      <c r="S205" s="398"/>
      <c r="T205" s="398"/>
    </row>
    <row r="206" spans="1:20">
      <c r="A206" s="398"/>
      <c r="B206" s="398"/>
      <c r="C206" s="398"/>
      <c r="D206" s="36" t="str">
        <f>D24</f>
        <v>Data &amp; Information Access/Analysis</v>
      </c>
      <c r="E206" s="104">
        <f>Productivity!G109</f>
        <v>1.1224615384615386</v>
      </c>
      <c r="F206" s="104">
        <f>E206-G206</f>
        <v>1.1224615384615386</v>
      </c>
      <c r="G206" s="232">
        <f>Productivity!J109</f>
        <v>0</v>
      </c>
      <c r="H206" s="171">
        <f t="shared" si="29"/>
        <v>0</v>
      </c>
      <c r="I206" s="104">
        <f>Productivity!H109</f>
        <v>0.52615384615384608</v>
      </c>
      <c r="J206" s="104">
        <f>I206-K206</f>
        <v>0.52615384615384608</v>
      </c>
      <c r="K206" s="232">
        <f>Productivity!K109</f>
        <v>0</v>
      </c>
      <c r="L206" s="171">
        <f t="shared" si="30"/>
        <v>0</v>
      </c>
      <c r="M206" s="104">
        <f>E206*IWMix+I206*TWMix</f>
        <v>0.79125911429061602</v>
      </c>
      <c r="N206" s="104">
        <f>M206-O206</f>
        <v>0.79125911429061602</v>
      </c>
      <c r="O206" s="104">
        <f>G206*IWMix+K206*TWMix</f>
        <v>0</v>
      </c>
      <c r="P206" s="171">
        <f t="shared" si="31"/>
        <v>0</v>
      </c>
      <c r="Q206" s="398"/>
      <c r="R206" s="398"/>
      <c r="S206" s="398"/>
      <c r="T206" s="398"/>
    </row>
    <row r="207" spans="1:20">
      <c r="A207" s="398"/>
      <c r="B207" s="398"/>
      <c r="C207" s="398"/>
      <c r="D207" s="36" t="str">
        <f>D25</f>
        <v>Email, Calendar, Contact, &amp; Task Mgmt</v>
      </c>
      <c r="E207" s="104">
        <f>Productivity!G115</f>
        <v>2.6939076923076928</v>
      </c>
      <c r="F207" s="104">
        <f>E207-G207</f>
        <v>2.6939076923076928</v>
      </c>
      <c r="G207" s="232">
        <f>Productivity!J115</f>
        <v>0</v>
      </c>
      <c r="H207" s="171">
        <f t="shared" si="29"/>
        <v>0</v>
      </c>
      <c r="I207" s="104">
        <f>Productivity!H115</f>
        <v>0.84184615384615358</v>
      </c>
      <c r="J207" s="104">
        <f>I207-K207</f>
        <v>0.84184615384615358</v>
      </c>
      <c r="K207" s="232">
        <f>Productivity!K115</f>
        <v>0</v>
      </c>
      <c r="L207" s="171">
        <f t="shared" si="30"/>
        <v>0</v>
      </c>
      <c r="M207" s="104">
        <f>E207*IWMix+I207*TWMix</f>
        <v>1.6652319278238861</v>
      </c>
      <c r="N207" s="104">
        <f>M207-O207</f>
        <v>1.6652319278238861</v>
      </c>
      <c r="O207" s="104">
        <f>G207*IWMix+K207*TWMix</f>
        <v>0</v>
      </c>
      <c r="P207" s="171">
        <f t="shared" si="31"/>
        <v>0</v>
      </c>
      <c r="Q207" s="398"/>
      <c r="R207" s="398"/>
      <c r="S207" s="398"/>
      <c r="T207" s="398"/>
    </row>
    <row r="208" spans="1:20">
      <c r="A208" s="398"/>
      <c r="B208" s="398"/>
      <c r="C208" s="398"/>
      <c r="D208" s="36" t="str">
        <f>D26</f>
        <v>LOB Application-Related Activities</v>
      </c>
      <c r="E208" s="104">
        <f>Productivity!G120</f>
        <v>3.4796307692307704</v>
      </c>
      <c r="F208" s="104">
        <f>E208-G208</f>
        <v>3.4622326153846164</v>
      </c>
      <c r="G208" s="232">
        <f>Productivity!J120</f>
        <v>1.7398153846153851E-2</v>
      </c>
      <c r="H208" s="171">
        <f t="shared" si="29"/>
        <v>5.0000000000000001E-3</v>
      </c>
      <c r="I208" s="104">
        <f>Productivity!H120</f>
        <v>5.4719999999999995</v>
      </c>
      <c r="J208" s="104">
        <f>I208-K208</f>
        <v>5.4172799999999999</v>
      </c>
      <c r="K208" s="232">
        <f>Productivity!K120</f>
        <v>5.4720000000000005E-2</v>
      </c>
      <c r="L208" s="171">
        <f t="shared" si="30"/>
        <v>1.0000000000000002E-2</v>
      </c>
      <c r="M208" s="104">
        <f>E208*IWMix+I208*TWMix</f>
        <v>4.5862365158724394</v>
      </c>
      <c r="N208" s="104">
        <f>M208-O208</f>
        <v>4.5481089867722941</v>
      </c>
      <c r="O208" s="104">
        <f>G208*IWMix+K208*TWMix</f>
        <v>3.8127529100145705E-2</v>
      </c>
      <c r="P208" s="171">
        <f t="shared" si="31"/>
        <v>8.3134676914700528E-3</v>
      </c>
      <c r="Q208" s="398"/>
      <c r="R208" s="398"/>
      <c r="S208" s="398"/>
      <c r="T208" s="398"/>
    </row>
    <row r="209" spans="1:20" ht="13.5" thickBot="1">
      <c r="A209" s="398"/>
      <c r="B209" s="398"/>
      <c r="C209" s="398"/>
      <c r="D209" s="226" t="str">
        <f>D27</f>
        <v>Other</v>
      </c>
      <c r="E209" s="104">
        <f>Productivity!G126</f>
        <v>1.1224615384615397</v>
      </c>
      <c r="F209" s="104">
        <f>E209-G209</f>
        <v>1.1224615384615397</v>
      </c>
      <c r="G209" s="232">
        <f>Productivity!J126</f>
        <v>0</v>
      </c>
      <c r="H209" s="171">
        <f t="shared" si="29"/>
        <v>0</v>
      </c>
      <c r="I209" s="104">
        <f>Productivity!H126</f>
        <v>0.73661538461538389</v>
      </c>
      <c r="J209" s="104">
        <f>I209-K209</f>
        <v>0.73661538461538389</v>
      </c>
      <c r="K209" s="232">
        <f>Productivity!K126</f>
        <v>0</v>
      </c>
      <c r="L209" s="171">
        <f t="shared" si="30"/>
        <v>0</v>
      </c>
      <c r="M209" s="104">
        <f>E209*IWMix+I209*TWMix</f>
        <v>0.90815408752741233</v>
      </c>
      <c r="N209" s="104">
        <f>M209-O209</f>
        <v>0.90815408752741233</v>
      </c>
      <c r="O209" s="104">
        <f>G209*IWMix+K209*TWMix</f>
        <v>0</v>
      </c>
      <c r="P209" s="171">
        <f t="shared" si="31"/>
        <v>0</v>
      </c>
      <c r="Q209" s="398"/>
      <c r="R209" s="398"/>
      <c r="S209" s="398"/>
      <c r="T209" s="398"/>
    </row>
    <row r="210" spans="1:20" ht="13.5" thickTop="1">
      <c r="A210" s="398"/>
      <c r="B210" s="398"/>
      <c r="C210" s="398"/>
      <c r="D210" s="702" t="str">
        <f>$D$46</f>
        <v>Total</v>
      </c>
      <c r="E210" s="225">
        <f>SUM(E205:E209)</f>
        <v>11.224615384615388</v>
      </c>
      <c r="F210" s="229">
        <f>SUM(F205:F209)</f>
        <v>11.207217230769235</v>
      </c>
      <c r="G210" s="230">
        <f>SUM(G205:G209)</f>
        <v>1.7398153846153851E-2</v>
      </c>
      <c r="H210" s="233">
        <f t="shared" si="29"/>
        <v>1.5499999999999999E-3</v>
      </c>
      <c r="I210" s="229">
        <f>SUM(I205:I209)</f>
        <v>10.523076923076921</v>
      </c>
      <c r="J210" s="229">
        <f>SUM(J205:J209)</f>
        <v>10.468356923076922</v>
      </c>
      <c r="K210" s="230">
        <f>SUM(K205:K209)</f>
        <v>5.4720000000000005E-2</v>
      </c>
      <c r="L210" s="233">
        <f t="shared" si="30"/>
        <v>5.2000000000000015E-3</v>
      </c>
      <c r="M210" s="229">
        <f>SUM(M205:M209)</f>
        <v>10.834965473826065</v>
      </c>
      <c r="N210" s="229">
        <f>SUM(N205:N209)</f>
        <v>10.796837944725921</v>
      </c>
      <c r="O210" s="230">
        <f>SUM(O205:O209)</f>
        <v>3.8127529100145705E-2</v>
      </c>
      <c r="P210" s="233">
        <f t="shared" si="31"/>
        <v>3.5189340651107801E-3</v>
      </c>
      <c r="Q210" s="398"/>
      <c r="R210" s="398"/>
      <c r="S210" s="398"/>
      <c r="T210" s="398"/>
    </row>
    <row r="211" spans="1:20" ht="14.25">
      <c r="A211" s="398"/>
      <c r="B211" s="398"/>
      <c r="C211" s="8" t="str">
        <f>C29</f>
        <v>Collaborative Computing</v>
      </c>
      <c r="D211" s="398"/>
      <c r="E211" s="234"/>
      <c r="F211" s="234"/>
      <c r="G211" s="398"/>
      <c r="H211" s="398"/>
      <c r="I211" s="234"/>
      <c r="J211" s="234"/>
      <c r="K211" s="398"/>
      <c r="L211" s="398"/>
      <c r="M211" s="234"/>
      <c r="N211" s="234"/>
      <c r="O211" s="398"/>
      <c r="P211" s="398"/>
      <c r="Q211" s="398"/>
      <c r="R211" s="398"/>
      <c r="S211" s="398"/>
      <c r="T211" s="398"/>
    </row>
    <row r="212" spans="1:20">
      <c r="A212" s="398"/>
      <c r="B212" s="398"/>
      <c r="C212" s="398"/>
      <c r="D212" s="36" t="str">
        <f>D30</f>
        <v>Document Collaboration</v>
      </c>
      <c r="E212" s="104">
        <f>Productivity!G135</f>
        <v>4.4196923076923067</v>
      </c>
      <c r="F212" s="104">
        <f>E212-G212</f>
        <v>4.4196923076923067</v>
      </c>
      <c r="G212" s="232">
        <f>Productivity!J135</f>
        <v>0</v>
      </c>
      <c r="H212" s="171">
        <f>G212/E212</f>
        <v>0</v>
      </c>
      <c r="I212" s="104">
        <f>Productivity!H135</f>
        <v>0.49458461538461534</v>
      </c>
      <c r="J212" s="104">
        <f>I212-K212</f>
        <v>0.49458461538461534</v>
      </c>
      <c r="K212" s="232">
        <f>Productivity!K135</f>
        <v>0</v>
      </c>
      <c r="L212" s="171">
        <f>K212/I212</f>
        <v>0</v>
      </c>
      <c r="M212" s="104">
        <f>E212*IWMix+I212*TWMix</f>
        <v>2.2396010568260589</v>
      </c>
      <c r="N212" s="104">
        <f>M212-O212</f>
        <v>2.2396010568260589</v>
      </c>
      <c r="O212" s="104">
        <f>G212*IWMix+K212*TWMix</f>
        <v>0</v>
      </c>
      <c r="P212" s="171">
        <f>O212/M212</f>
        <v>0</v>
      </c>
      <c r="Q212" s="398"/>
      <c r="R212" s="398"/>
      <c r="S212" s="398"/>
      <c r="T212" s="398"/>
    </row>
    <row r="213" spans="1:20">
      <c r="A213" s="398"/>
      <c r="B213" s="398"/>
      <c r="C213" s="398"/>
      <c r="D213" s="36" t="str">
        <f>D31</f>
        <v>Workflow (routing)</v>
      </c>
      <c r="E213" s="104">
        <f>Productivity!G140</f>
        <v>1.1049230769230767</v>
      </c>
      <c r="F213" s="104">
        <f>E213-G213</f>
        <v>1.1049230769230767</v>
      </c>
      <c r="G213" s="232">
        <f>Productivity!J140</f>
        <v>0</v>
      </c>
      <c r="H213" s="171">
        <f>G213/E213</f>
        <v>0</v>
      </c>
      <c r="I213" s="104">
        <f>Productivity!H140</f>
        <v>0.29464615384615389</v>
      </c>
      <c r="J213" s="104">
        <f>I213-K213</f>
        <v>0.29464615384615389</v>
      </c>
      <c r="K213" s="232">
        <f>Productivity!K140</f>
        <v>0</v>
      </c>
      <c r="L213" s="171">
        <f>K213/I213</f>
        <v>0</v>
      </c>
      <c r="M213" s="104">
        <f>E213*IWMix+I213*TWMix</f>
        <v>0.65487742996141163</v>
      </c>
      <c r="N213" s="104">
        <f>M213-O213</f>
        <v>0.65487742996141163</v>
      </c>
      <c r="O213" s="104">
        <f>G213*IWMix+K213*TWMix</f>
        <v>0</v>
      </c>
      <c r="P213" s="171">
        <f>O213/M213</f>
        <v>0</v>
      </c>
      <c r="Q213" s="398"/>
      <c r="R213" s="398"/>
      <c r="S213" s="398"/>
      <c r="T213" s="398"/>
    </row>
    <row r="214" spans="1:20">
      <c r="A214" s="398"/>
      <c r="B214" s="398"/>
      <c r="C214" s="398"/>
      <c r="D214" s="36" t="str">
        <f>D32</f>
        <v>Coordination / Project Mgmt</v>
      </c>
      <c r="E214" s="104">
        <f>Productivity!G145</f>
        <v>1.1785846153846153</v>
      </c>
      <c r="F214" s="104">
        <f>E214-G214</f>
        <v>1.1785846153846153</v>
      </c>
      <c r="G214" s="232">
        <f>Productivity!J145</f>
        <v>0</v>
      </c>
      <c r="H214" s="171">
        <f>G214/E214</f>
        <v>0</v>
      </c>
      <c r="I214" s="104">
        <f>Productivity!H145</f>
        <v>0.15784615384615386</v>
      </c>
      <c r="J214" s="104">
        <f>I214-K214</f>
        <v>0.15784615384615386</v>
      </c>
      <c r="K214" s="232">
        <f>Productivity!K145</f>
        <v>0</v>
      </c>
      <c r="L214" s="171">
        <f>K214/I214</f>
        <v>0</v>
      </c>
      <c r="M214" s="104">
        <f>E214*IWMix+I214*TWMix</f>
        <v>0.61164399518615409</v>
      </c>
      <c r="N214" s="104">
        <f>M214-O214</f>
        <v>0.61164399518615409</v>
      </c>
      <c r="O214" s="104">
        <f>G214*IWMix+K214*TWMix</f>
        <v>0</v>
      </c>
      <c r="P214" s="171">
        <f>O214/M214</f>
        <v>0</v>
      </c>
      <c r="Q214" s="398"/>
      <c r="R214" s="398"/>
      <c r="S214" s="398"/>
      <c r="T214" s="398"/>
    </row>
    <row r="215" spans="1:20" ht="13.5" thickBot="1">
      <c r="A215" s="398"/>
      <c r="B215" s="398"/>
      <c r="C215" s="398"/>
      <c r="D215" s="226" t="str">
        <f>D33</f>
        <v>Other</v>
      </c>
      <c r="E215" s="104">
        <f>Productivity!G151</f>
        <v>0.66295384615384578</v>
      </c>
      <c r="F215" s="104">
        <f>E215-G215</f>
        <v>0.66295384615384578</v>
      </c>
      <c r="G215" s="232">
        <f>Productivity!J151</f>
        <v>0</v>
      </c>
      <c r="H215" s="171">
        <f>G215/E215</f>
        <v>0</v>
      </c>
      <c r="I215" s="104">
        <f>Productivity!H151</f>
        <v>0.10523076923076922</v>
      </c>
      <c r="J215" s="104">
        <f>I215-K215</f>
        <v>0.10523076923076922</v>
      </c>
      <c r="K215" s="232">
        <f>Productivity!K151</f>
        <v>0</v>
      </c>
      <c r="L215" s="171">
        <f>K215/I215</f>
        <v>0</v>
      </c>
      <c r="M215" s="104">
        <f>E215*IWMix+I215*TWMix</f>
        <v>0.35318216707633615</v>
      </c>
      <c r="N215" s="104">
        <f>M215-O215</f>
        <v>0.35318216707633615</v>
      </c>
      <c r="O215" s="104">
        <f>G215*IWMix+K215*TWMix</f>
        <v>0</v>
      </c>
      <c r="P215" s="171">
        <f>O215/M215</f>
        <v>0</v>
      </c>
      <c r="Q215" s="398"/>
      <c r="R215" s="398"/>
      <c r="S215" s="398"/>
      <c r="T215" s="398"/>
    </row>
    <row r="216" spans="1:20" ht="13.5" thickTop="1">
      <c r="A216" s="398"/>
      <c r="B216" s="398"/>
      <c r="C216" s="398"/>
      <c r="D216" s="702" t="str">
        <f>$D$46</f>
        <v>Total</v>
      </c>
      <c r="E216" s="225">
        <f>SUM(E212:E215)</f>
        <v>7.3661538461538445</v>
      </c>
      <c r="F216" s="229">
        <f>SUM(F212:F215)</f>
        <v>7.3661538461538445</v>
      </c>
      <c r="G216" s="230">
        <f>SUM(G212:G215)</f>
        <v>0</v>
      </c>
      <c r="H216" s="233">
        <f>G216/E216</f>
        <v>0</v>
      </c>
      <c r="I216" s="229">
        <f>SUM(I212:I215)</f>
        <v>1.0523076923076922</v>
      </c>
      <c r="J216" s="229">
        <f>SUM(J212:J215)</f>
        <v>1.0523076923076922</v>
      </c>
      <c r="K216" s="230">
        <f>SUM(K212:K215)</f>
        <v>0</v>
      </c>
      <c r="L216" s="233">
        <f>K216/I216</f>
        <v>0</v>
      </c>
      <c r="M216" s="229">
        <f>SUM(M212:M215)</f>
        <v>3.8593046490499612</v>
      </c>
      <c r="N216" s="229">
        <f>SUM(N212:N215)</f>
        <v>3.8593046490499612</v>
      </c>
      <c r="O216" s="230">
        <f>SUM(O212:O215)</f>
        <v>0</v>
      </c>
      <c r="P216" s="233">
        <f>O216/M216</f>
        <v>0</v>
      </c>
      <c r="Q216" s="398"/>
      <c r="R216" s="398"/>
      <c r="S216" s="398"/>
      <c r="T216" s="398"/>
    </row>
    <row r="217" spans="1:20" ht="14.25">
      <c r="A217" s="398"/>
      <c r="B217" s="398"/>
      <c r="C217" s="8" t="str">
        <f>C35</f>
        <v>PC Systems Management</v>
      </c>
      <c r="D217" s="398"/>
      <c r="E217" s="398"/>
      <c r="F217" s="398"/>
      <c r="G217" s="398"/>
      <c r="H217" s="398"/>
      <c r="I217" s="398"/>
      <c r="J217" s="398"/>
      <c r="K217" s="398"/>
      <c r="L217" s="398"/>
      <c r="M217" s="398"/>
      <c r="N217" s="398"/>
      <c r="O217" s="398"/>
      <c r="P217" s="398"/>
      <c r="Q217" s="398"/>
      <c r="R217" s="398"/>
      <c r="S217" s="398"/>
      <c r="T217" s="398"/>
    </row>
    <row r="218" spans="1:20">
      <c r="A218" s="398"/>
      <c r="B218" s="398"/>
      <c r="C218" s="398"/>
      <c r="D218" s="36" t="str">
        <f t="shared" ref="D218:D223" si="32">D36</f>
        <v>Support, Self-Help, &amp; Learning</v>
      </c>
      <c r="E218" s="104">
        <f>Productivity!G162/60</f>
        <v>0.49107692307692319</v>
      </c>
      <c r="F218" s="104">
        <f t="shared" ref="F218:F223" si="33">E218-G218</f>
        <v>0.47754775384615394</v>
      </c>
      <c r="G218" s="232">
        <f>Productivity!J162/60</f>
        <v>1.3529169230769236E-2</v>
      </c>
      <c r="H218" s="171">
        <f t="shared" ref="H218:H226" si="34">G218/E218</f>
        <v>2.7550000000000005E-2</v>
      </c>
      <c r="I218" s="104">
        <f>Productivity!H162/60</f>
        <v>0.28061538461538471</v>
      </c>
      <c r="J218" s="104">
        <f t="shared" ref="J218:J223" si="35">I218-K218</f>
        <v>0.27288443076923086</v>
      </c>
      <c r="K218" s="232">
        <f>Productivity!K162/60</f>
        <v>7.7309538461538489E-3</v>
      </c>
      <c r="L218" s="171">
        <f t="shared" ref="L218:L226" si="36">K218/I218</f>
        <v>2.7550000000000002E-2</v>
      </c>
      <c r="M218" s="104">
        <f t="shared" ref="M218:M223" si="37">E218*IWMix+I218*TWMix</f>
        <v>0.37418194984012704</v>
      </c>
      <c r="N218" s="104">
        <f t="shared" ref="N218:N223" si="38">M218-O218</f>
        <v>0.36387323712203151</v>
      </c>
      <c r="O218" s="104">
        <f t="shared" ref="O218:O223" si="39">G218*IWMix+K218*TWMix</f>
        <v>1.0308712718095501E-2</v>
      </c>
      <c r="P218" s="171">
        <f t="shared" ref="P218:P226" si="40">O218/M218</f>
        <v>2.7550000000000002E-2</v>
      </c>
      <c r="Q218" s="398"/>
      <c r="R218" s="398"/>
      <c r="S218" s="398"/>
      <c r="T218" s="398"/>
    </row>
    <row r="219" spans="1:20">
      <c r="A219" s="398"/>
      <c r="B219" s="398"/>
      <c r="C219" s="398"/>
      <c r="D219" s="36" t="str">
        <f t="shared" si="32"/>
        <v>Performance</v>
      </c>
      <c r="E219" s="104">
        <f>Productivity!G168/60</f>
        <v>0.35076923076923083</v>
      </c>
      <c r="F219" s="104">
        <f t="shared" si="33"/>
        <v>0.33744000000000007</v>
      </c>
      <c r="G219" s="232">
        <f>Productivity!J168/60</f>
        <v>1.3329230769230772E-2</v>
      </c>
      <c r="H219" s="171">
        <f t="shared" si="34"/>
        <v>3.7999999999999999E-2</v>
      </c>
      <c r="I219" s="104">
        <f>Productivity!H168/60</f>
        <v>0.17538461538461542</v>
      </c>
      <c r="J219" s="104">
        <f t="shared" si="35"/>
        <v>0.16872000000000004</v>
      </c>
      <c r="K219" s="232">
        <f>Productivity!K168/60</f>
        <v>6.664615384615386E-3</v>
      </c>
      <c r="L219" s="171">
        <f t="shared" si="36"/>
        <v>3.7999999999999999E-2</v>
      </c>
      <c r="M219" s="104">
        <f t="shared" si="37"/>
        <v>0.2533567530719007</v>
      </c>
      <c r="N219" s="104">
        <f t="shared" si="38"/>
        <v>0.24372919645516847</v>
      </c>
      <c r="O219" s="104">
        <f t="shared" si="39"/>
        <v>9.6275566167322267E-3</v>
      </c>
      <c r="P219" s="171">
        <f t="shared" si="40"/>
        <v>3.7999999999999999E-2</v>
      </c>
      <c r="Q219" s="398"/>
      <c r="R219" s="398"/>
      <c r="S219" s="398"/>
      <c r="T219" s="398"/>
    </row>
    <row r="220" spans="1:20">
      <c r="A220" s="398"/>
      <c r="B220" s="398"/>
      <c r="C220" s="398"/>
      <c r="D220" s="36" t="str">
        <f t="shared" si="32"/>
        <v>Mobility &amp; Remote Connectivity</v>
      </c>
      <c r="E220" s="104">
        <f>Productivity!G175/60</f>
        <v>0.23852307692307698</v>
      </c>
      <c r="F220" s="104">
        <f t="shared" si="33"/>
        <v>0.23362142769230773</v>
      </c>
      <c r="G220" s="232">
        <f>Productivity!J175/60</f>
        <v>4.901649230769232E-3</v>
      </c>
      <c r="H220" s="171">
        <f t="shared" si="34"/>
        <v>2.0549999999999999E-2</v>
      </c>
      <c r="I220" s="104">
        <f>Productivity!H175/60</f>
        <v>4.2092307692307693E-2</v>
      </c>
      <c r="J220" s="104">
        <f t="shared" si="35"/>
        <v>4.1227310769230772E-2</v>
      </c>
      <c r="K220" s="232">
        <f>Productivity!K175/60</f>
        <v>8.649969230769232E-4</v>
      </c>
      <c r="L220" s="171">
        <f t="shared" si="36"/>
        <v>2.0550000000000002E-2</v>
      </c>
      <c r="M220" s="104">
        <f t="shared" si="37"/>
        <v>0.12942110190206721</v>
      </c>
      <c r="N220" s="104">
        <f t="shared" si="38"/>
        <v>0.12676149825797972</v>
      </c>
      <c r="O220" s="104">
        <f t="shared" si="39"/>
        <v>2.6596036440874812E-3</v>
      </c>
      <c r="P220" s="171">
        <f t="shared" si="40"/>
        <v>2.0550000000000002E-2</v>
      </c>
      <c r="Q220" s="398"/>
      <c r="R220" s="398"/>
      <c r="S220" s="398"/>
      <c r="T220" s="398"/>
    </row>
    <row r="221" spans="1:20" s="20" customFormat="1">
      <c r="A221" s="398"/>
      <c r="B221" s="398"/>
      <c r="C221" s="398"/>
      <c r="D221" s="36" t="str">
        <f t="shared" si="32"/>
        <v>Security &amp; Privacy</v>
      </c>
      <c r="E221" s="104">
        <f>Productivity!G181/60</f>
        <v>0.18240000000000003</v>
      </c>
      <c r="F221" s="104">
        <f t="shared" si="33"/>
        <v>0.17647200000000005</v>
      </c>
      <c r="G221" s="232">
        <f>Productivity!J181/60</f>
        <v>5.928000000000001E-3</v>
      </c>
      <c r="H221" s="171">
        <f t="shared" si="34"/>
        <v>3.2500000000000001E-2</v>
      </c>
      <c r="I221" s="104">
        <f>Productivity!H181/60</f>
        <v>0.10523076923076924</v>
      </c>
      <c r="J221" s="104">
        <f t="shared" si="35"/>
        <v>0.10181076923076923</v>
      </c>
      <c r="K221" s="232">
        <f>Productivity!K181/60</f>
        <v>3.4199999999999999E-3</v>
      </c>
      <c r="L221" s="171">
        <f t="shared" si="36"/>
        <v>3.2499999999999994E-2</v>
      </c>
      <c r="M221" s="104">
        <f t="shared" si="37"/>
        <v>0.13953850981317475</v>
      </c>
      <c r="N221" s="104">
        <f t="shared" si="38"/>
        <v>0.13500350824424656</v>
      </c>
      <c r="O221" s="104">
        <f t="shared" si="39"/>
        <v>4.5350015689281792E-3</v>
      </c>
      <c r="P221" s="171">
        <f t="shared" si="40"/>
        <v>3.2499999999999994E-2</v>
      </c>
      <c r="Q221" s="398"/>
      <c r="R221" s="398"/>
      <c r="S221" s="398"/>
      <c r="T221" s="398"/>
    </row>
    <row r="222" spans="1:20" s="20" customFormat="1">
      <c r="A222" s="398"/>
      <c r="B222" s="398"/>
      <c r="C222" s="398"/>
      <c r="D222" s="36" t="str">
        <f t="shared" si="32"/>
        <v>System UI Navigation</v>
      </c>
      <c r="E222" s="104">
        <f>Productivity!G186/60</f>
        <v>8.4184615384615386E-2</v>
      </c>
      <c r="F222" s="104">
        <f t="shared" si="33"/>
        <v>8.4184615384615386E-2</v>
      </c>
      <c r="G222" s="232">
        <f>Productivity!J186/60</f>
        <v>0</v>
      </c>
      <c r="H222" s="171">
        <f t="shared" si="34"/>
        <v>0</v>
      </c>
      <c r="I222" s="104">
        <f>Productivity!H186/60</f>
        <v>5.6123076923076935E-2</v>
      </c>
      <c r="J222" s="104">
        <f t="shared" si="35"/>
        <v>5.6123076923076935E-2</v>
      </c>
      <c r="K222" s="232">
        <f>Productivity!K186/60</f>
        <v>0</v>
      </c>
      <c r="L222" s="171">
        <f t="shared" si="36"/>
        <v>0</v>
      </c>
      <c r="M222" s="104">
        <f t="shared" si="37"/>
        <v>6.8598618953042576E-2</v>
      </c>
      <c r="N222" s="104">
        <f t="shared" si="38"/>
        <v>6.8598618953042576E-2</v>
      </c>
      <c r="O222" s="104">
        <f t="shared" si="39"/>
        <v>0</v>
      </c>
      <c r="P222" s="171">
        <f t="shared" si="40"/>
        <v>0</v>
      </c>
      <c r="Q222" s="398"/>
      <c r="R222" s="398"/>
      <c r="S222" s="398"/>
      <c r="T222" s="398"/>
    </row>
    <row r="223" spans="1:20" s="20" customFormat="1" ht="13.5" thickBot="1">
      <c r="A223" s="398"/>
      <c r="B223" s="398"/>
      <c r="C223" s="398"/>
      <c r="D223" s="226" t="str">
        <f t="shared" si="32"/>
        <v>Availability &amp; Reliability</v>
      </c>
      <c r="E223" s="104">
        <f>Productivity!G191/60</f>
        <v>5.6123076923076984E-2</v>
      </c>
      <c r="F223" s="104">
        <f t="shared" si="33"/>
        <v>5.268553846153852E-2</v>
      </c>
      <c r="G223" s="232">
        <f>Productivity!J191/60</f>
        <v>3.437538461538465E-3</v>
      </c>
      <c r="H223" s="171">
        <f t="shared" si="34"/>
        <v>6.1249999999999992E-2</v>
      </c>
      <c r="I223" s="104">
        <f>Productivity!H191/60</f>
        <v>4.2092307692307734E-2</v>
      </c>
      <c r="J223" s="104">
        <f t="shared" si="35"/>
        <v>3.9514153846153886E-2</v>
      </c>
      <c r="K223" s="232">
        <f>Productivity!K191/60</f>
        <v>2.5781538461538485E-3</v>
      </c>
      <c r="L223" s="171">
        <f t="shared" si="36"/>
        <v>6.1249999999999992E-2</v>
      </c>
      <c r="M223" s="104">
        <f t="shared" si="37"/>
        <v>4.8330078707290558E-2</v>
      </c>
      <c r="N223" s="104">
        <f t="shared" si="38"/>
        <v>4.5369861386469014E-2</v>
      </c>
      <c r="O223" s="104">
        <f t="shared" si="39"/>
        <v>2.9602173208215466E-3</v>
      </c>
      <c r="P223" s="171">
        <f t="shared" si="40"/>
        <v>6.1249999999999999E-2</v>
      </c>
      <c r="Q223" s="398"/>
      <c r="R223" s="398"/>
      <c r="S223" s="398"/>
      <c r="T223" s="398"/>
    </row>
    <row r="224" spans="1:20" s="20" customFormat="1" ht="13.5" thickTop="1">
      <c r="A224" s="398"/>
      <c r="B224" s="398"/>
      <c r="C224" s="398"/>
      <c r="D224" s="702" t="str">
        <f>$D$46</f>
        <v>Total</v>
      </c>
      <c r="E224" s="225">
        <f>SUM(E218:E223)</f>
        <v>1.4030769230769233</v>
      </c>
      <c r="F224" s="229">
        <f>SUM(F218:F223)</f>
        <v>1.3619513353846155</v>
      </c>
      <c r="G224" s="230">
        <f>SUM(G218:G223)</f>
        <v>4.1125587692307709E-2</v>
      </c>
      <c r="H224" s="233">
        <f t="shared" si="34"/>
        <v>2.9311000000000007E-2</v>
      </c>
      <c r="I224" s="229">
        <f>SUM(I218:I223)</f>
        <v>0.70153846153846178</v>
      </c>
      <c r="J224" s="229">
        <f>SUM(J218:J223)</f>
        <v>0.68027974153846171</v>
      </c>
      <c r="K224" s="230">
        <f>SUM(K218:K223)</f>
        <v>2.1258720000000005E-2</v>
      </c>
      <c r="L224" s="233">
        <f t="shared" si="36"/>
        <v>3.0302999999999997E-2</v>
      </c>
      <c r="M224" s="229">
        <f>SUM(M218:M223)</f>
        <v>1.0134270122876028</v>
      </c>
      <c r="N224" s="229">
        <f>SUM(N218:N223)</f>
        <v>0.98333592041893791</v>
      </c>
      <c r="O224" s="230">
        <f>SUM(O218:O223)</f>
        <v>3.0091091868664935E-2</v>
      </c>
      <c r="P224" s="233">
        <f t="shared" si="40"/>
        <v>2.9692411494677346E-2</v>
      </c>
      <c r="Q224" s="398"/>
      <c r="R224" s="398"/>
      <c r="S224" s="398"/>
      <c r="T224" s="398"/>
    </row>
    <row r="225" spans="1:20" s="20" customFormat="1" ht="15" thickBot="1">
      <c r="A225" s="398"/>
      <c r="B225" s="398"/>
      <c r="C225" s="8" t="str">
        <f>Productivity!B195</f>
        <v>Non-Computing-Related Activities</v>
      </c>
      <c r="D225" s="398"/>
      <c r="E225" s="104">
        <f>Productivity!G195</f>
        <v>15.083076923076922</v>
      </c>
      <c r="F225" s="104">
        <f>E225-G225</f>
        <v>15.083076923076922</v>
      </c>
      <c r="G225" s="107">
        <f>Productivity!J195</f>
        <v>0</v>
      </c>
      <c r="H225" s="171">
        <f t="shared" si="34"/>
        <v>0</v>
      </c>
      <c r="I225" s="104">
        <f>Productivity!H195</f>
        <v>22.800000000000004</v>
      </c>
      <c r="J225" s="104">
        <f>I225-K225</f>
        <v>22.800000000000004</v>
      </c>
      <c r="K225" s="107">
        <f>Productivity!K195</f>
        <v>0</v>
      </c>
      <c r="L225" s="171">
        <f t="shared" si="36"/>
        <v>0</v>
      </c>
      <c r="M225" s="104">
        <f>E225*IWMix+I225*TWMix</f>
        <v>19.369225941759453</v>
      </c>
      <c r="N225" s="104">
        <f>M225-O225</f>
        <v>19.369225941759453</v>
      </c>
      <c r="O225" s="104">
        <f>G225*IWMix+K225*TWMix</f>
        <v>0</v>
      </c>
      <c r="P225" s="171">
        <f t="shared" si="40"/>
        <v>0</v>
      </c>
      <c r="Q225" s="398"/>
      <c r="R225" s="398"/>
      <c r="S225" s="398"/>
      <c r="T225" s="398"/>
    </row>
    <row r="226" spans="1:20" s="20" customFormat="1" ht="15" thickTop="1">
      <c r="A226" s="398"/>
      <c r="B226" s="398"/>
      <c r="C226" s="8" t="str">
        <f>$D$46</f>
        <v>Total</v>
      </c>
      <c r="D226" s="398"/>
      <c r="E226" s="229">
        <f>SUM(E210,E216,E224,E225)</f>
        <v>35.07692307692308</v>
      </c>
      <c r="F226" s="229">
        <f>SUM(F210,F216,F224,F225)</f>
        <v>35.018399335384622</v>
      </c>
      <c r="G226" s="229">
        <f>SUM(G210,G216,G224,G225)</f>
        <v>5.8523741538461557E-2</v>
      </c>
      <c r="H226" s="235">
        <f t="shared" si="34"/>
        <v>1.6684400000000004E-3</v>
      </c>
      <c r="I226" s="229">
        <f>SUM(I210,I216,I224,I225)</f>
        <v>35.07692307692308</v>
      </c>
      <c r="J226" s="229">
        <f>SUM(J210,J216,J224,J225)</f>
        <v>35.000944356923078</v>
      </c>
      <c r="K226" s="229">
        <f>SUM(K210,K216,K224,K225)</f>
        <v>7.5978720000000013E-2</v>
      </c>
      <c r="L226" s="235">
        <f t="shared" si="36"/>
        <v>2.16606E-3</v>
      </c>
      <c r="M226" s="229">
        <f>SUM(M210,M216,M224,M225)</f>
        <v>35.07692307692308</v>
      </c>
      <c r="N226" s="229">
        <f>SUM(N210,N216,N224,N225)</f>
        <v>35.008704455954273</v>
      </c>
      <c r="O226" s="229">
        <f>SUM(O210,O216,O224,O225)</f>
        <v>6.8218620968810637E-2</v>
      </c>
      <c r="P226" s="235">
        <f t="shared" si="40"/>
        <v>1.9448291065669698E-3</v>
      </c>
      <c r="Q226" s="398"/>
      <c r="R226" s="398"/>
      <c r="S226" s="398"/>
      <c r="T226" s="398"/>
    </row>
    <row r="227" spans="1:20" s="20" customFormat="1">
      <c r="A227" s="398"/>
      <c r="B227" s="398"/>
      <c r="C227" s="398"/>
      <c r="D227" s="398"/>
      <c r="E227" s="398"/>
      <c r="F227" s="398"/>
      <c r="G227" s="398"/>
      <c r="H227" s="398"/>
      <c r="I227" s="398"/>
      <c r="J227" s="398"/>
      <c r="K227" s="398"/>
      <c r="L227" s="398"/>
      <c r="M227" s="398"/>
      <c r="N227" s="398"/>
      <c r="O227" s="398"/>
      <c r="P227" s="398"/>
      <c r="Q227" s="398"/>
      <c r="R227" s="398"/>
      <c r="S227" s="398"/>
      <c r="T227" s="398"/>
    </row>
    <row r="228" spans="1:20" s="31" customFormat="1" ht="14.25">
      <c r="A228" s="398"/>
      <c r="B228" s="398"/>
      <c r="C228" s="8" t="s">
        <v>229</v>
      </c>
      <c r="D228" s="398"/>
      <c r="E228" s="398"/>
      <c r="F228" s="398"/>
      <c r="G228" s="398"/>
      <c r="H228" s="398"/>
      <c r="I228" s="398"/>
      <c r="J228" s="398"/>
      <c r="K228" s="398"/>
      <c r="L228" s="398"/>
      <c r="M228" s="398"/>
      <c r="N228" s="398"/>
      <c r="O228" s="398"/>
      <c r="P228" s="398"/>
      <c r="Q228" s="398"/>
      <c r="R228" s="398"/>
      <c r="S228" s="398"/>
      <c r="T228" s="398"/>
    </row>
    <row r="229" spans="1:20" s="31" customFormat="1">
      <c r="A229" s="398"/>
      <c r="B229" s="398"/>
      <c r="C229" s="398"/>
      <c r="D229" s="36" t="str">
        <f>C204</f>
        <v>Individual Computing</v>
      </c>
      <c r="E229" s="104">
        <f>E210</f>
        <v>11.224615384615388</v>
      </c>
      <c r="F229" s="104">
        <f t="shared" ref="F229:P229" si="41">F210</f>
        <v>11.207217230769235</v>
      </c>
      <c r="G229" s="232">
        <f t="shared" si="41"/>
        <v>1.7398153846153851E-2</v>
      </c>
      <c r="H229" s="171">
        <f t="shared" si="41"/>
        <v>1.5499999999999999E-3</v>
      </c>
      <c r="I229" s="104">
        <f t="shared" si="41"/>
        <v>10.523076923076921</v>
      </c>
      <c r="J229" s="104">
        <f t="shared" si="41"/>
        <v>10.468356923076922</v>
      </c>
      <c r="K229" s="232">
        <f t="shared" si="41"/>
        <v>5.4720000000000005E-2</v>
      </c>
      <c r="L229" s="171">
        <f t="shared" si="41"/>
        <v>5.2000000000000015E-3</v>
      </c>
      <c r="M229" s="104">
        <f t="shared" si="41"/>
        <v>10.834965473826065</v>
      </c>
      <c r="N229" s="104">
        <f t="shared" si="41"/>
        <v>10.796837944725921</v>
      </c>
      <c r="O229" s="104">
        <f t="shared" si="41"/>
        <v>3.8127529100145705E-2</v>
      </c>
      <c r="P229" s="171">
        <f t="shared" si="41"/>
        <v>3.5189340651107801E-3</v>
      </c>
      <c r="Q229" s="398"/>
      <c r="R229" s="398"/>
      <c r="S229" s="398"/>
      <c r="T229" s="398"/>
    </row>
    <row r="230" spans="1:20" s="31" customFormat="1">
      <c r="A230" s="398"/>
      <c r="B230" s="398"/>
      <c r="C230" s="398"/>
      <c r="D230" s="36" t="str">
        <f>C211</f>
        <v>Collaborative Computing</v>
      </c>
      <c r="E230" s="104">
        <f>E216</f>
        <v>7.3661538461538445</v>
      </c>
      <c r="F230" s="104">
        <f t="shared" ref="F230:P230" si="42">F216</f>
        <v>7.3661538461538445</v>
      </c>
      <c r="G230" s="232">
        <f t="shared" si="42"/>
        <v>0</v>
      </c>
      <c r="H230" s="171">
        <f t="shared" si="42"/>
        <v>0</v>
      </c>
      <c r="I230" s="104">
        <f t="shared" si="42"/>
        <v>1.0523076923076922</v>
      </c>
      <c r="J230" s="104">
        <f t="shared" si="42"/>
        <v>1.0523076923076922</v>
      </c>
      <c r="K230" s="232">
        <f t="shared" si="42"/>
        <v>0</v>
      </c>
      <c r="L230" s="171">
        <f t="shared" si="42"/>
        <v>0</v>
      </c>
      <c r="M230" s="104">
        <f t="shared" si="42"/>
        <v>3.8593046490499612</v>
      </c>
      <c r="N230" s="104">
        <f t="shared" si="42"/>
        <v>3.8593046490499612</v>
      </c>
      <c r="O230" s="104">
        <f t="shared" si="42"/>
        <v>0</v>
      </c>
      <c r="P230" s="171">
        <f t="shared" si="42"/>
        <v>0</v>
      </c>
      <c r="Q230" s="398"/>
      <c r="R230" s="398"/>
      <c r="S230" s="398"/>
      <c r="T230" s="398"/>
    </row>
    <row r="231" spans="1:20" s="31" customFormat="1">
      <c r="A231" s="398"/>
      <c r="B231" s="398"/>
      <c r="C231" s="398"/>
      <c r="D231" s="36" t="str">
        <f>C217</f>
        <v>PC Systems Management</v>
      </c>
      <c r="E231" s="104">
        <f>E224</f>
        <v>1.4030769230769233</v>
      </c>
      <c r="F231" s="104">
        <f t="shared" ref="F231:P231" si="43">F224</f>
        <v>1.3619513353846155</v>
      </c>
      <c r="G231" s="232">
        <f t="shared" si="43"/>
        <v>4.1125587692307709E-2</v>
      </c>
      <c r="H231" s="171">
        <f t="shared" si="43"/>
        <v>2.9311000000000007E-2</v>
      </c>
      <c r="I231" s="104">
        <f t="shared" si="43"/>
        <v>0.70153846153846178</v>
      </c>
      <c r="J231" s="104">
        <f t="shared" si="43"/>
        <v>0.68027974153846171</v>
      </c>
      <c r="K231" s="232">
        <f t="shared" si="43"/>
        <v>2.1258720000000005E-2</v>
      </c>
      <c r="L231" s="171">
        <f t="shared" si="43"/>
        <v>3.0302999999999997E-2</v>
      </c>
      <c r="M231" s="104">
        <f t="shared" si="43"/>
        <v>1.0134270122876028</v>
      </c>
      <c r="N231" s="104">
        <f t="shared" si="43"/>
        <v>0.98333592041893791</v>
      </c>
      <c r="O231" s="104">
        <f t="shared" si="43"/>
        <v>3.0091091868664935E-2</v>
      </c>
      <c r="P231" s="171">
        <f t="shared" si="43"/>
        <v>2.9692411494677346E-2</v>
      </c>
      <c r="Q231" s="398"/>
      <c r="R231" s="398"/>
      <c r="S231" s="398"/>
      <c r="T231" s="398"/>
    </row>
    <row r="232" spans="1:20" s="31" customFormat="1" ht="13.5" thickBot="1">
      <c r="A232" s="398"/>
      <c r="B232" s="398"/>
      <c r="C232" s="398"/>
      <c r="D232" s="226" t="str">
        <f>C225</f>
        <v>Non-Computing-Related Activities</v>
      </c>
      <c r="E232" s="104">
        <f>E225</f>
        <v>15.083076923076922</v>
      </c>
      <c r="F232" s="104">
        <f t="shared" ref="F232:P232" si="44">F225</f>
        <v>15.083076923076922</v>
      </c>
      <c r="G232" s="232">
        <f t="shared" si="44"/>
        <v>0</v>
      </c>
      <c r="H232" s="171">
        <f t="shared" si="44"/>
        <v>0</v>
      </c>
      <c r="I232" s="104">
        <f t="shared" si="44"/>
        <v>22.800000000000004</v>
      </c>
      <c r="J232" s="104">
        <f t="shared" si="44"/>
        <v>22.800000000000004</v>
      </c>
      <c r="K232" s="232">
        <f t="shared" si="44"/>
        <v>0</v>
      </c>
      <c r="L232" s="171">
        <f t="shared" si="44"/>
        <v>0</v>
      </c>
      <c r="M232" s="104">
        <f t="shared" si="44"/>
        <v>19.369225941759453</v>
      </c>
      <c r="N232" s="104">
        <f t="shared" si="44"/>
        <v>19.369225941759453</v>
      </c>
      <c r="O232" s="104">
        <f t="shared" si="44"/>
        <v>0</v>
      </c>
      <c r="P232" s="171">
        <f t="shared" si="44"/>
        <v>0</v>
      </c>
      <c r="Q232" s="398"/>
      <c r="R232" s="398"/>
      <c r="S232" s="398"/>
      <c r="T232" s="398"/>
    </row>
    <row r="233" spans="1:20" s="31" customFormat="1" ht="13.5" thickTop="1">
      <c r="A233" s="398"/>
      <c r="B233" s="398"/>
      <c r="C233" s="398"/>
      <c r="D233" s="702" t="str">
        <f>$D$46</f>
        <v>Total</v>
      </c>
      <c r="E233" s="225">
        <f>SUM(E229:E232)</f>
        <v>35.07692307692308</v>
      </c>
      <c r="F233" s="229">
        <f>SUM(F229:F232)</f>
        <v>35.018399335384622</v>
      </c>
      <c r="G233" s="229">
        <f>SUM(G229:G232)</f>
        <v>5.8523741538461557E-2</v>
      </c>
      <c r="H233" s="235">
        <f>G233/E233</f>
        <v>1.6684400000000004E-3</v>
      </c>
      <c r="I233" s="229">
        <f>SUM(I229:I232)</f>
        <v>35.07692307692308</v>
      </c>
      <c r="J233" s="229">
        <f>SUM(J229:J232)</f>
        <v>35.000944356923078</v>
      </c>
      <c r="K233" s="229">
        <f>SUM(K229:K232)</f>
        <v>7.5978720000000013E-2</v>
      </c>
      <c r="L233" s="235">
        <f>K233/I233</f>
        <v>2.16606E-3</v>
      </c>
      <c r="M233" s="229">
        <f>SUM(M229:M232)</f>
        <v>35.07692307692308</v>
      </c>
      <c r="N233" s="229">
        <f>SUM(N229:N232)</f>
        <v>35.008704455954273</v>
      </c>
      <c r="O233" s="229">
        <f>SUM(O229:O232)</f>
        <v>6.8218620968810637E-2</v>
      </c>
      <c r="P233" s="235">
        <f>O233/M233</f>
        <v>1.9448291065669698E-3</v>
      </c>
      <c r="Q233" s="398"/>
      <c r="R233" s="398"/>
      <c r="S233" s="398"/>
      <c r="T233" s="398"/>
    </row>
    <row r="234" spans="1:20" s="31" customFormat="1">
      <c r="A234" s="398"/>
      <c r="B234" s="398"/>
      <c r="C234" s="398"/>
      <c r="D234" s="398"/>
      <c r="E234" s="398"/>
      <c r="F234" s="398"/>
      <c r="G234" s="398"/>
      <c r="H234" s="398"/>
      <c r="I234" s="398"/>
      <c r="J234" s="398"/>
      <c r="K234" s="398"/>
      <c r="L234" s="398"/>
      <c r="M234" s="398"/>
      <c r="N234" s="398"/>
      <c r="O234" s="398"/>
      <c r="P234" s="398"/>
      <c r="Q234" s="398"/>
      <c r="R234" s="398"/>
      <c r="S234" s="398"/>
      <c r="T234" s="398"/>
    </row>
    <row r="235" spans="1:20" s="31" customFormat="1">
      <c r="A235" s="398"/>
      <c r="B235" s="398"/>
      <c r="C235" s="398"/>
      <c r="D235" s="398"/>
      <c r="E235" s="398"/>
      <c r="F235" s="398"/>
      <c r="G235" s="398"/>
      <c r="H235" s="398"/>
      <c r="I235" s="398"/>
      <c r="J235" s="398"/>
      <c r="K235" s="398"/>
      <c r="L235" s="398"/>
      <c r="M235" s="398"/>
      <c r="N235" s="398"/>
      <c r="O235" s="398"/>
      <c r="P235" s="398"/>
      <c r="Q235" s="398"/>
      <c r="R235" s="398"/>
      <c r="S235" s="398"/>
      <c r="T235" s="398"/>
    </row>
    <row r="236" spans="1:20" s="31" customFormat="1">
      <c r="A236" s="398"/>
      <c r="B236" s="398"/>
      <c r="C236" s="398"/>
      <c r="D236" s="398"/>
      <c r="E236" s="398"/>
      <c r="F236" s="398"/>
      <c r="G236" s="398"/>
      <c r="H236" s="398"/>
      <c r="I236" s="398"/>
      <c r="J236" s="398"/>
      <c r="K236" s="398"/>
      <c r="L236" s="398"/>
      <c r="M236" s="398"/>
      <c r="N236" s="398"/>
      <c r="O236" s="398"/>
      <c r="P236" s="398"/>
      <c r="Q236" s="398"/>
      <c r="R236" s="37" t="s">
        <v>232</v>
      </c>
      <c r="S236" s="270" t="s">
        <v>444</v>
      </c>
      <c r="T236" s="270" t="s">
        <v>445</v>
      </c>
    </row>
    <row r="237" spans="1:20" s="31" customFormat="1">
      <c r="A237" s="398"/>
      <c r="B237" s="398"/>
      <c r="C237" s="398"/>
      <c r="D237" s="398"/>
      <c r="E237" s="398"/>
      <c r="F237" s="398"/>
      <c r="G237" s="398"/>
      <c r="H237" s="398"/>
      <c r="I237" s="398"/>
      <c r="J237" s="398"/>
      <c r="K237" s="398"/>
      <c r="L237" s="398"/>
      <c r="M237" s="398"/>
      <c r="N237" s="398"/>
      <c r="O237" s="398"/>
      <c r="P237" s="398"/>
      <c r="Q237" s="398"/>
      <c r="R237" s="270" t="s">
        <v>10</v>
      </c>
      <c r="S237" s="181" t="s">
        <v>229</v>
      </c>
      <c r="T237" s="202" t="str">
        <f>D229</f>
        <v>Individual Computing</v>
      </c>
    </row>
    <row r="238" spans="1:20" s="31" customFormat="1">
      <c r="A238" s="398"/>
      <c r="B238" s="398"/>
      <c r="C238" s="398"/>
      <c r="D238" s="398"/>
      <c r="E238" s="398"/>
      <c r="F238" s="398"/>
      <c r="G238" s="398"/>
      <c r="H238" s="398"/>
      <c r="I238" s="398"/>
      <c r="J238" s="398"/>
      <c r="K238" s="398"/>
      <c r="L238" s="398"/>
      <c r="M238" s="398"/>
      <c r="N238" s="398"/>
      <c r="O238" s="398"/>
      <c r="P238" s="398"/>
      <c r="Q238" s="398"/>
      <c r="R238" s="270" t="s">
        <v>235</v>
      </c>
      <c r="S238" s="113"/>
      <c r="T238" s="181"/>
    </row>
    <row r="239" spans="1:20" s="31" customFormat="1">
      <c r="A239" s="398"/>
      <c r="B239" s="398"/>
      <c r="C239" s="398"/>
      <c r="D239" s="398"/>
      <c r="E239" s="398"/>
      <c r="F239" s="398"/>
      <c r="G239" s="398"/>
      <c r="H239" s="398"/>
      <c r="I239" s="398"/>
      <c r="J239" s="398"/>
      <c r="K239" s="398"/>
      <c r="L239" s="398"/>
      <c r="M239" s="398"/>
      <c r="N239" s="398"/>
      <c r="O239" s="398"/>
      <c r="P239" s="398"/>
      <c r="Q239" s="398"/>
      <c r="R239" s="270" t="s">
        <v>238</v>
      </c>
      <c r="S239" s="210"/>
      <c r="T239" s="181"/>
    </row>
    <row r="240" spans="1:20" s="31" customFormat="1">
      <c r="A240" s="398"/>
      <c r="B240" s="398"/>
      <c r="C240" s="398"/>
      <c r="D240" s="398"/>
      <c r="E240" s="398"/>
      <c r="F240" s="398"/>
      <c r="G240" s="398"/>
      <c r="H240" s="398"/>
      <c r="I240" s="398"/>
      <c r="J240" s="398"/>
      <c r="K240" s="398"/>
      <c r="L240" s="398"/>
      <c r="M240" s="398"/>
      <c r="N240" s="398"/>
      <c r="O240" s="398"/>
      <c r="P240" s="398"/>
      <c r="Q240" s="398"/>
      <c r="R240" s="77" t="s">
        <v>239</v>
      </c>
      <c r="S240" s="181" t="s">
        <v>595</v>
      </c>
      <c r="T240" s="202" t="str">
        <f>S240</f>
        <v>Time (Hours / Week)</v>
      </c>
    </row>
    <row r="241" spans="1:20" s="31" customFormat="1">
      <c r="A241" s="398"/>
      <c r="B241" s="398"/>
      <c r="C241" s="398"/>
      <c r="D241" s="398"/>
      <c r="E241" s="398"/>
      <c r="F241" s="398"/>
      <c r="G241" s="398"/>
      <c r="H241" s="398"/>
      <c r="I241" s="398"/>
      <c r="J241" s="398"/>
      <c r="K241" s="398"/>
      <c r="L241" s="398"/>
      <c r="M241" s="398"/>
      <c r="N241" s="398"/>
      <c r="O241" s="398"/>
      <c r="P241" s="398"/>
      <c r="Q241" s="398"/>
      <c r="R241" s="398"/>
      <c r="S241" s="398"/>
      <c r="T241" s="398"/>
    </row>
    <row r="242" spans="1:20" s="31" customFormat="1">
      <c r="A242" s="398"/>
      <c r="B242" s="398"/>
      <c r="C242" s="398"/>
      <c r="D242" s="398"/>
      <c r="E242" s="398"/>
      <c r="F242" s="398"/>
      <c r="G242" s="398"/>
      <c r="H242" s="398"/>
      <c r="I242" s="398"/>
      <c r="J242" s="398"/>
      <c r="K242" s="398"/>
      <c r="L242" s="398"/>
      <c r="M242" s="398"/>
      <c r="N242" s="398"/>
      <c r="O242" s="398"/>
      <c r="P242" s="398"/>
      <c r="Q242" s="398"/>
      <c r="R242" s="398"/>
      <c r="S242" s="398"/>
      <c r="T242" s="398"/>
    </row>
    <row r="243" spans="1:20" s="31" customFormat="1">
      <c r="A243" s="398"/>
      <c r="B243" s="398"/>
      <c r="C243" s="398"/>
      <c r="D243" s="398"/>
      <c r="E243" s="398"/>
      <c r="F243" s="398"/>
      <c r="G243" s="398"/>
      <c r="H243" s="398"/>
      <c r="I243" s="398"/>
      <c r="J243" s="398"/>
      <c r="K243" s="398"/>
      <c r="L243" s="398"/>
      <c r="M243" s="398"/>
      <c r="N243" s="398"/>
      <c r="O243" s="398"/>
      <c r="P243" s="398"/>
      <c r="Q243" s="398"/>
      <c r="R243" s="398"/>
      <c r="S243" s="398"/>
      <c r="T243" s="398"/>
    </row>
    <row r="244" spans="1:20" s="31" customFormat="1">
      <c r="A244" s="398"/>
      <c r="B244" s="398"/>
      <c r="C244" s="398"/>
      <c r="D244" s="398"/>
      <c r="E244" s="398"/>
      <c r="F244" s="398"/>
      <c r="G244" s="398"/>
      <c r="H244" s="398"/>
      <c r="I244" s="398"/>
      <c r="J244" s="398"/>
      <c r="K244" s="398"/>
      <c r="L244" s="398"/>
      <c r="M244" s="398"/>
      <c r="N244" s="398"/>
      <c r="O244" s="398"/>
      <c r="P244" s="398"/>
      <c r="Q244" s="398"/>
      <c r="R244" s="398"/>
      <c r="S244" s="398"/>
      <c r="T244" s="398"/>
    </row>
    <row r="245" spans="1:20" s="31" customFormat="1">
      <c r="A245" s="398"/>
      <c r="B245" s="398"/>
      <c r="C245" s="398"/>
      <c r="D245" s="398"/>
      <c r="E245" s="398"/>
      <c r="F245" s="398"/>
      <c r="G245" s="398"/>
      <c r="H245" s="398"/>
      <c r="I245" s="398"/>
      <c r="J245" s="398"/>
      <c r="K245" s="398"/>
      <c r="L245" s="398"/>
      <c r="M245" s="398"/>
      <c r="N245" s="398"/>
      <c r="O245" s="398"/>
      <c r="P245" s="398"/>
      <c r="Q245" s="398"/>
      <c r="R245" s="398"/>
      <c r="S245" s="398"/>
      <c r="T245" s="398"/>
    </row>
    <row r="246" spans="1:20" s="31" customFormat="1">
      <c r="A246" s="398"/>
      <c r="B246" s="398"/>
      <c r="C246" s="398"/>
      <c r="D246" s="398"/>
      <c r="E246" s="398"/>
      <c r="F246" s="398"/>
      <c r="G246" s="398"/>
      <c r="H246" s="398"/>
      <c r="I246" s="398"/>
      <c r="J246" s="398"/>
      <c r="K246" s="398"/>
      <c r="L246" s="398"/>
      <c r="M246" s="398"/>
      <c r="N246" s="398"/>
      <c r="O246" s="398"/>
      <c r="P246" s="398"/>
      <c r="Q246" s="398"/>
      <c r="R246" s="398"/>
      <c r="S246" s="398"/>
      <c r="T246" s="398"/>
    </row>
    <row r="247" spans="1:20" s="31" customFormat="1">
      <c r="A247" s="398"/>
      <c r="B247" s="398"/>
      <c r="C247" s="398"/>
      <c r="D247" s="398"/>
      <c r="E247" s="398"/>
      <c r="F247" s="398"/>
      <c r="G247" s="398"/>
      <c r="H247" s="398"/>
      <c r="I247" s="398"/>
      <c r="J247" s="398"/>
      <c r="K247" s="398"/>
      <c r="L247" s="398"/>
      <c r="M247" s="398"/>
      <c r="N247" s="398"/>
      <c r="O247" s="398"/>
      <c r="P247" s="398"/>
      <c r="Q247" s="398"/>
      <c r="R247" s="398"/>
      <c r="S247" s="398"/>
      <c r="T247" s="398"/>
    </row>
    <row r="248" spans="1:20" s="31" customFormat="1">
      <c r="A248" s="398"/>
      <c r="B248" s="398"/>
      <c r="C248" s="398"/>
      <c r="D248" s="398"/>
      <c r="E248" s="398"/>
      <c r="F248" s="398"/>
      <c r="G248" s="398"/>
      <c r="H248" s="398"/>
      <c r="I248" s="398"/>
      <c r="J248" s="398"/>
      <c r="K248" s="398"/>
      <c r="L248" s="398"/>
      <c r="M248" s="398"/>
      <c r="N248" s="398"/>
      <c r="O248" s="398"/>
      <c r="P248" s="398"/>
      <c r="Q248" s="398"/>
      <c r="R248" s="398"/>
      <c r="S248" s="398"/>
      <c r="T248" s="398"/>
    </row>
    <row r="249" spans="1:20" s="31" customFormat="1">
      <c r="A249" s="398"/>
      <c r="B249" s="398"/>
      <c r="C249" s="398"/>
      <c r="D249" s="398"/>
      <c r="E249" s="398"/>
      <c r="F249" s="398"/>
      <c r="G249" s="398"/>
      <c r="H249" s="398"/>
      <c r="I249" s="398"/>
      <c r="J249" s="398"/>
      <c r="K249" s="398"/>
      <c r="L249" s="398"/>
      <c r="M249" s="398"/>
      <c r="N249" s="398"/>
      <c r="O249" s="398"/>
      <c r="P249" s="398"/>
      <c r="Q249" s="398"/>
      <c r="R249" s="398"/>
      <c r="S249" s="398"/>
      <c r="T249" s="398"/>
    </row>
    <row r="250" spans="1:20" s="31" customFormat="1">
      <c r="A250" s="398"/>
      <c r="B250" s="398"/>
      <c r="C250" s="398"/>
      <c r="D250" s="398"/>
      <c r="E250" s="398"/>
      <c r="F250" s="398"/>
      <c r="G250" s="398"/>
      <c r="H250" s="398"/>
      <c r="I250" s="398"/>
      <c r="J250" s="398"/>
      <c r="K250" s="398"/>
      <c r="L250" s="398"/>
      <c r="M250" s="398"/>
      <c r="N250" s="398"/>
      <c r="O250" s="398"/>
      <c r="P250" s="398"/>
      <c r="Q250" s="398"/>
      <c r="R250" s="398"/>
      <c r="S250" s="398"/>
      <c r="T250" s="398"/>
    </row>
    <row r="251" spans="1:20" s="31" customFormat="1">
      <c r="A251" s="398"/>
      <c r="B251" s="398"/>
      <c r="C251" s="398"/>
      <c r="D251" s="398"/>
      <c r="E251" s="398"/>
      <c r="F251" s="398"/>
      <c r="G251" s="398"/>
      <c r="H251" s="398"/>
      <c r="I251" s="398"/>
      <c r="J251" s="398"/>
      <c r="K251" s="398"/>
      <c r="L251" s="398"/>
      <c r="M251" s="398"/>
      <c r="N251" s="398"/>
      <c r="O251" s="398"/>
      <c r="P251" s="398"/>
      <c r="Q251" s="398"/>
      <c r="R251" s="398"/>
      <c r="S251" s="398"/>
      <c r="T251" s="398"/>
    </row>
    <row r="252" spans="1:20" s="31" customFormat="1">
      <c r="A252" s="398"/>
      <c r="B252" s="398"/>
      <c r="C252" s="398"/>
      <c r="D252" s="398"/>
      <c r="E252" s="398"/>
      <c r="F252" s="398"/>
      <c r="G252" s="398"/>
      <c r="H252" s="398"/>
      <c r="I252" s="398"/>
      <c r="J252" s="398"/>
      <c r="K252" s="398"/>
      <c r="L252" s="398"/>
      <c r="M252" s="398"/>
      <c r="N252" s="398"/>
      <c r="O252" s="398"/>
      <c r="P252" s="398"/>
      <c r="Q252" s="398"/>
      <c r="R252" s="398"/>
      <c r="S252" s="398"/>
      <c r="T252" s="398"/>
    </row>
    <row r="253" spans="1:20" s="31" customFormat="1">
      <c r="A253" s="398"/>
      <c r="B253" s="398"/>
      <c r="C253" s="398"/>
      <c r="D253" s="398"/>
      <c r="E253" s="398"/>
      <c r="F253" s="398"/>
      <c r="G253" s="398"/>
      <c r="H253" s="398"/>
      <c r="I253" s="398"/>
      <c r="J253" s="398"/>
      <c r="K253" s="398"/>
      <c r="L253" s="398"/>
      <c r="M253" s="398"/>
      <c r="N253" s="398"/>
      <c r="O253" s="398"/>
      <c r="P253" s="398"/>
      <c r="Q253" s="398"/>
      <c r="R253" s="398"/>
      <c r="S253" s="398"/>
      <c r="T253" s="398"/>
    </row>
    <row r="254" spans="1:20" s="31" customFormat="1">
      <c r="A254" s="398"/>
      <c r="B254" s="398"/>
      <c r="C254" s="398"/>
      <c r="D254" s="398"/>
      <c r="E254" s="398"/>
      <c r="F254" s="398"/>
      <c r="G254" s="398"/>
      <c r="H254" s="398"/>
      <c r="I254" s="398"/>
      <c r="J254" s="398"/>
      <c r="K254" s="398"/>
      <c r="L254" s="398"/>
      <c r="M254" s="398"/>
      <c r="N254" s="398"/>
      <c r="O254" s="398"/>
      <c r="P254" s="398"/>
      <c r="Q254" s="398"/>
      <c r="R254" s="398"/>
      <c r="S254" s="398"/>
      <c r="T254" s="398"/>
    </row>
    <row r="255" spans="1:20" s="31" customFormat="1">
      <c r="A255" s="398"/>
      <c r="B255" s="398"/>
      <c r="C255" s="398"/>
      <c r="D255" s="398"/>
      <c r="E255" s="398"/>
      <c r="F255" s="398"/>
      <c r="G255" s="398"/>
      <c r="H255" s="398"/>
      <c r="I255" s="398"/>
      <c r="J255" s="398"/>
      <c r="K255" s="398"/>
      <c r="L255" s="398"/>
      <c r="M255" s="398"/>
      <c r="N255" s="398"/>
      <c r="O255" s="398"/>
      <c r="P255" s="398"/>
      <c r="Q255" s="398"/>
      <c r="R255" s="398"/>
      <c r="S255" s="398"/>
      <c r="T255" s="398"/>
    </row>
    <row r="256" spans="1:20" s="31" customFormat="1">
      <c r="A256" s="398"/>
      <c r="B256" s="398"/>
      <c r="C256" s="398"/>
      <c r="D256" s="398"/>
      <c r="E256" s="398"/>
      <c r="F256" s="398"/>
      <c r="G256" s="398"/>
      <c r="H256" s="398"/>
      <c r="I256" s="398"/>
      <c r="J256" s="398"/>
      <c r="K256" s="398"/>
      <c r="L256" s="398"/>
      <c r="M256" s="398"/>
      <c r="N256" s="398"/>
      <c r="O256" s="398"/>
      <c r="P256" s="398"/>
      <c r="Q256" s="398"/>
      <c r="R256" s="37" t="s">
        <v>232</v>
      </c>
      <c r="S256" s="270" t="s">
        <v>444</v>
      </c>
      <c r="T256" s="270" t="s">
        <v>445</v>
      </c>
    </row>
    <row r="257" spans="1:20" s="31" customFormat="1">
      <c r="A257" s="398"/>
      <c r="B257" s="398"/>
      <c r="C257" s="398"/>
      <c r="D257" s="398"/>
      <c r="E257" s="398"/>
      <c r="F257" s="398"/>
      <c r="G257" s="398"/>
      <c r="H257" s="398"/>
      <c r="I257" s="398"/>
      <c r="J257" s="398"/>
      <c r="K257" s="398"/>
      <c r="L257" s="398"/>
      <c r="M257" s="398"/>
      <c r="N257" s="398"/>
      <c r="O257" s="398"/>
      <c r="P257" s="398"/>
      <c r="Q257" s="398"/>
      <c r="R257" s="270" t="s">
        <v>10</v>
      </c>
      <c r="S257" s="181" t="str">
        <f>D230</f>
        <v>Collaborative Computing</v>
      </c>
      <c r="T257" s="181" t="str">
        <f>D231</f>
        <v>PC Systems Management</v>
      </c>
    </row>
    <row r="258" spans="1:20" s="31" customFormat="1">
      <c r="A258" s="398"/>
      <c r="B258" s="398"/>
      <c r="C258" s="398"/>
      <c r="D258" s="398"/>
      <c r="E258" s="398"/>
      <c r="F258" s="398"/>
      <c r="G258" s="398"/>
      <c r="H258" s="398"/>
      <c r="I258" s="398"/>
      <c r="J258" s="398"/>
      <c r="K258" s="398"/>
      <c r="L258" s="398"/>
      <c r="M258" s="398"/>
      <c r="N258" s="398"/>
      <c r="O258" s="398"/>
      <c r="P258" s="398"/>
      <c r="Q258" s="398"/>
      <c r="R258" s="270" t="s">
        <v>235</v>
      </c>
      <c r="S258" s="181"/>
      <c r="T258" s="181"/>
    </row>
    <row r="259" spans="1:20" s="31" customFormat="1">
      <c r="A259" s="398"/>
      <c r="B259" s="398"/>
      <c r="C259" s="398"/>
      <c r="D259" s="398"/>
      <c r="E259" s="398"/>
      <c r="F259" s="398"/>
      <c r="G259" s="398"/>
      <c r="H259" s="398"/>
      <c r="I259" s="398"/>
      <c r="J259" s="398"/>
      <c r="K259" s="398"/>
      <c r="L259" s="398"/>
      <c r="M259" s="398"/>
      <c r="N259" s="398"/>
      <c r="O259" s="398"/>
      <c r="P259" s="398"/>
      <c r="Q259" s="398"/>
      <c r="R259" s="270" t="s">
        <v>238</v>
      </c>
      <c r="S259" s="181"/>
      <c r="T259" s="181"/>
    </row>
    <row r="260" spans="1:20" s="31" customFormat="1">
      <c r="A260" s="398"/>
      <c r="B260" s="398"/>
      <c r="C260" s="398"/>
      <c r="D260" s="398"/>
      <c r="E260" s="398"/>
      <c r="F260" s="398"/>
      <c r="G260" s="398"/>
      <c r="H260" s="398"/>
      <c r="I260" s="398"/>
      <c r="J260" s="398"/>
      <c r="K260" s="398"/>
      <c r="L260" s="398"/>
      <c r="M260" s="398"/>
      <c r="N260" s="398"/>
      <c r="O260" s="398"/>
      <c r="P260" s="398"/>
      <c r="Q260" s="398"/>
      <c r="R260" s="77" t="s">
        <v>239</v>
      </c>
      <c r="S260" s="181" t="str">
        <f>S240</f>
        <v>Time (Hours / Week)</v>
      </c>
      <c r="T260" s="181" t="str">
        <f>S260</f>
        <v>Time (Hours / Week)</v>
      </c>
    </row>
    <row r="261" spans="1:20" s="31" customFormat="1">
      <c r="A261" s="398"/>
      <c r="B261" s="398"/>
      <c r="C261" s="398"/>
      <c r="D261" s="398"/>
      <c r="E261" s="398"/>
      <c r="F261" s="398"/>
      <c r="G261" s="398"/>
      <c r="H261" s="398"/>
      <c r="I261" s="398"/>
      <c r="J261" s="398"/>
      <c r="K261" s="398"/>
      <c r="L261" s="398"/>
      <c r="M261" s="398"/>
      <c r="N261" s="398"/>
      <c r="O261" s="398"/>
      <c r="P261" s="398"/>
      <c r="Q261" s="398"/>
      <c r="R261" s="398"/>
      <c r="S261" s="398"/>
      <c r="T261" s="398"/>
    </row>
    <row r="262" spans="1:20" s="31" customFormat="1">
      <c r="A262" s="398"/>
      <c r="B262" s="398"/>
      <c r="C262" s="398"/>
      <c r="D262" s="398"/>
      <c r="E262" s="398"/>
      <c r="F262" s="398"/>
      <c r="G262" s="398"/>
      <c r="H262" s="398"/>
      <c r="I262" s="398"/>
      <c r="J262" s="398"/>
      <c r="K262" s="398"/>
      <c r="L262" s="398"/>
      <c r="M262" s="398"/>
      <c r="N262" s="398"/>
      <c r="O262" s="398"/>
      <c r="P262" s="398"/>
      <c r="Q262" s="398"/>
      <c r="R262" s="398"/>
      <c r="S262" s="398"/>
      <c r="T262" s="398"/>
    </row>
    <row r="263" spans="1:20" s="31" customFormat="1">
      <c r="A263" s="398"/>
      <c r="B263" s="398"/>
      <c r="C263" s="398"/>
      <c r="D263" s="398"/>
      <c r="E263" s="398"/>
      <c r="F263" s="398"/>
      <c r="G263" s="398"/>
      <c r="H263" s="398"/>
      <c r="I263" s="398"/>
      <c r="J263" s="398"/>
      <c r="K263" s="398"/>
      <c r="L263" s="398"/>
      <c r="M263" s="398"/>
      <c r="N263" s="398"/>
      <c r="O263" s="398"/>
      <c r="P263" s="398"/>
      <c r="Q263" s="398"/>
      <c r="R263" s="398"/>
      <c r="S263" s="398"/>
      <c r="T263" s="398"/>
    </row>
    <row r="264" spans="1:20" s="31" customFormat="1">
      <c r="A264" s="398"/>
      <c r="B264" s="398"/>
      <c r="C264" s="398"/>
      <c r="D264" s="398"/>
      <c r="E264" s="398"/>
      <c r="F264" s="398"/>
      <c r="G264" s="398"/>
      <c r="H264" s="398"/>
      <c r="I264" s="398"/>
      <c r="J264" s="398"/>
      <c r="K264" s="398"/>
      <c r="L264" s="398"/>
      <c r="M264" s="398"/>
      <c r="N264" s="398"/>
      <c r="O264" s="398"/>
      <c r="P264" s="398"/>
      <c r="Q264" s="398"/>
      <c r="R264" s="398"/>
      <c r="S264" s="398"/>
      <c r="T264" s="398"/>
    </row>
    <row r="265" spans="1:20" s="31" customFormat="1">
      <c r="A265" s="398"/>
      <c r="B265" s="398"/>
      <c r="C265" s="398"/>
      <c r="D265" s="398"/>
      <c r="E265" s="398"/>
      <c r="F265" s="398"/>
      <c r="G265" s="398"/>
      <c r="H265" s="398"/>
      <c r="I265" s="398"/>
      <c r="J265" s="398"/>
      <c r="K265" s="398"/>
      <c r="L265" s="398"/>
      <c r="M265" s="398"/>
      <c r="N265" s="398"/>
      <c r="O265" s="398"/>
      <c r="P265" s="398"/>
      <c r="Q265" s="398"/>
      <c r="R265" s="398"/>
      <c r="S265" s="398"/>
      <c r="T265" s="398"/>
    </row>
    <row r="266" spans="1:20" s="31" customFormat="1">
      <c r="A266" s="398"/>
      <c r="B266" s="398"/>
      <c r="C266" s="398"/>
      <c r="D266" s="398"/>
      <c r="E266" s="398"/>
      <c r="F266" s="398"/>
      <c r="G266" s="398"/>
      <c r="H266" s="398"/>
      <c r="I266" s="398"/>
      <c r="J266" s="398"/>
      <c r="K266" s="398"/>
      <c r="L266" s="398"/>
      <c r="M266" s="398"/>
      <c r="N266" s="398"/>
      <c r="O266" s="398"/>
      <c r="P266" s="398"/>
      <c r="Q266" s="398"/>
      <c r="R266" s="398"/>
      <c r="S266" s="398"/>
      <c r="T266" s="398"/>
    </row>
    <row r="267" spans="1:20" s="31" customFormat="1">
      <c r="A267" s="398"/>
      <c r="B267" s="398"/>
      <c r="C267" s="398"/>
      <c r="D267" s="398"/>
      <c r="E267" s="398"/>
      <c r="F267" s="398"/>
      <c r="G267" s="398"/>
      <c r="H267" s="398"/>
      <c r="I267" s="398"/>
      <c r="J267" s="398"/>
      <c r="K267" s="398"/>
      <c r="L267" s="398"/>
      <c r="M267" s="398"/>
      <c r="N267" s="398"/>
      <c r="O267" s="398"/>
      <c r="P267" s="398"/>
      <c r="Q267" s="398"/>
      <c r="R267" s="398"/>
      <c r="S267" s="398"/>
      <c r="T267" s="398"/>
    </row>
    <row r="268" spans="1:20" s="31" customFormat="1">
      <c r="A268" s="398"/>
      <c r="B268" s="398"/>
      <c r="C268" s="398"/>
      <c r="D268" s="398"/>
      <c r="E268" s="398"/>
      <c r="F268" s="398"/>
      <c r="G268" s="398"/>
      <c r="H268" s="398"/>
      <c r="I268" s="398"/>
      <c r="J268" s="398"/>
      <c r="K268" s="398"/>
      <c r="L268" s="398"/>
      <c r="M268" s="398"/>
      <c r="N268" s="398"/>
      <c r="O268" s="398"/>
      <c r="P268" s="398"/>
      <c r="Q268" s="398"/>
      <c r="R268" s="398"/>
      <c r="S268" s="398"/>
      <c r="T268" s="398"/>
    </row>
    <row r="269" spans="1:20" s="31" customFormat="1">
      <c r="A269" s="398"/>
      <c r="B269" s="398"/>
      <c r="C269" s="398"/>
      <c r="D269" s="398"/>
      <c r="E269" s="398"/>
      <c r="F269" s="398"/>
      <c r="G269" s="398"/>
      <c r="H269" s="398"/>
      <c r="I269" s="398"/>
      <c r="J269" s="398"/>
      <c r="K269" s="398"/>
      <c r="L269" s="398"/>
      <c r="M269" s="398"/>
      <c r="N269" s="398"/>
      <c r="O269" s="398"/>
      <c r="P269" s="398"/>
      <c r="Q269" s="398"/>
      <c r="R269" s="398"/>
      <c r="S269" s="398"/>
      <c r="T269" s="398"/>
    </row>
    <row r="270" spans="1:20" s="31" customFormat="1">
      <c r="A270" s="398"/>
      <c r="B270" s="398"/>
      <c r="C270" s="398"/>
      <c r="D270" s="398"/>
      <c r="E270" s="398"/>
      <c r="F270" s="398"/>
      <c r="G270" s="398"/>
      <c r="H270" s="398"/>
      <c r="I270" s="398"/>
      <c r="J270" s="398"/>
      <c r="K270" s="398"/>
      <c r="L270" s="398"/>
      <c r="M270" s="398"/>
      <c r="N270" s="398"/>
      <c r="O270" s="398"/>
      <c r="P270" s="398"/>
      <c r="Q270" s="398"/>
      <c r="R270" s="398"/>
      <c r="S270" s="398"/>
      <c r="T270" s="398"/>
    </row>
    <row r="271" spans="1:20" s="31" customFormat="1">
      <c r="A271" s="398"/>
      <c r="B271" s="398"/>
      <c r="C271" s="398"/>
      <c r="D271" s="398"/>
      <c r="E271" s="398"/>
      <c r="F271" s="398"/>
      <c r="G271" s="398"/>
      <c r="H271" s="398"/>
      <c r="I271" s="398"/>
      <c r="J271" s="398"/>
      <c r="K271" s="398"/>
      <c r="L271" s="398"/>
      <c r="M271" s="398"/>
      <c r="N271" s="398"/>
      <c r="O271" s="398"/>
      <c r="P271" s="398"/>
      <c r="Q271" s="398"/>
      <c r="R271" s="398"/>
      <c r="S271" s="398"/>
      <c r="T271" s="398"/>
    </row>
    <row r="272" spans="1:20" s="31" customFormat="1">
      <c r="A272" s="398"/>
      <c r="B272" s="398"/>
      <c r="C272" s="398"/>
      <c r="D272" s="398"/>
      <c r="E272" s="398"/>
      <c r="F272" s="398"/>
      <c r="G272" s="398"/>
      <c r="H272" s="398"/>
      <c r="I272" s="398"/>
      <c r="J272" s="398"/>
      <c r="K272" s="398"/>
      <c r="L272" s="398"/>
      <c r="M272" s="398"/>
      <c r="N272" s="398"/>
      <c r="O272" s="398"/>
      <c r="P272" s="398"/>
      <c r="Q272" s="398"/>
      <c r="R272" s="398"/>
      <c r="S272" s="398"/>
      <c r="T272" s="398"/>
    </row>
    <row r="273" spans="1:20" s="31" customFormat="1">
      <c r="A273" s="398"/>
      <c r="B273" s="398"/>
      <c r="C273" s="398"/>
      <c r="D273" s="398"/>
      <c r="E273" s="398"/>
      <c r="F273" s="398"/>
      <c r="G273" s="398"/>
      <c r="H273" s="398"/>
      <c r="I273" s="398"/>
      <c r="J273" s="398"/>
      <c r="K273" s="398"/>
      <c r="L273" s="398"/>
      <c r="M273" s="398"/>
      <c r="N273" s="398"/>
      <c r="O273" s="398"/>
      <c r="P273" s="398"/>
      <c r="Q273" s="398"/>
      <c r="R273" s="398"/>
      <c r="S273" s="398"/>
      <c r="T273" s="398"/>
    </row>
    <row r="274" spans="1:20" s="31" customFormat="1">
      <c r="A274" s="398"/>
      <c r="B274" s="398"/>
      <c r="C274" s="398"/>
      <c r="D274" s="398"/>
      <c r="E274" s="398"/>
      <c r="F274" s="398"/>
      <c r="G274" s="398"/>
      <c r="H274" s="398"/>
      <c r="I274" s="398"/>
      <c r="J274" s="398"/>
      <c r="K274" s="398"/>
      <c r="L274" s="398"/>
      <c r="M274" s="398"/>
      <c r="N274" s="398"/>
      <c r="O274" s="398"/>
      <c r="P274" s="398"/>
      <c r="Q274" s="398"/>
      <c r="R274" s="398"/>
      <c r="S274" s="398"/>
      <c r="T274" s="398"/>
    </row>
    <row r="275" spans="1:20" s="31" customFormat="1" ht="22.5">
      <c r="A275" s="3" t="s">
        <v>596</v>
      </c>
      <c r="B275" s="398"/>
      <c r="C275" s="398"/>
      <c r="D275" s="398"/>
      <c r="E275" s="398"/>
      <c r="F275" s="398"/>
      <c r="G275" s="398"/>
      <c r="H275" s="398"/>
      <c r="I275" s="398"/>
      <c r="J275" s="398"/>
      <c r="K275" s="398"/>
      <c r="L275" s="398"/>
      <c r="M275" s="398"/>
      <c r="N275" s="398"/>
      <c r="O275" s="398"/>
      <c r="P275" s="398"/>
      <c r="Q275" s="398"/>
      <c r="R275" s="398"/>
      <c r="S275" s="398"/>
      <c r="T275" s="398"/>
    </row>
    <row r="276" spans="1:20" s="31" customFormat="1" ht="38.25" customHeight="1" thickBot="1">
      <c r="A276" s="398"/>
      <c r="B276" s="764" t="s">
        <v>597</v>
      </c>
      <c r="C276" s="764"/>
      <c r="D276" s="764"/>
      <c r="E276" s="764"/>
      <c r="F276" s="764"/>
      <c r="G276" s="764"/>
      <c r="H276" s="764"/>
      <c r="I276" s="764"/>
      <c r="J276" s="764"/>
      <c r="K276" s="764"/>
      <c r="L276" s="764"/>
      <c r="M276" s="764"/>
      <c r="N276" s="764"/>
      <c r="O276" s="764"/>
      <c r="P276" s="764"/>
      <c r="Q276" s="398"/>
      <c r="R276" s="398"/>
      <c r="S276" s="398"/>
      <c r="T276" s="398"/>
    </row>
    <row r="277" spans="1:20" ht="13.5" thickBot="1">
      <c r="A277" s="398"/>
      <c r="B277" s="398"/>
      <c r="C277" s="398"/>
      <c r="D277" s="237" t="s">
        <v>598</v>
      </c>
      <c r="E277" s="443">
        <v>0.5</v>
      </c>
      <c r="F277" s="398"/>
      <c r="G277" s="398"/>
      <c r="H277" s="398"/>
      <c r="I277" s="398"/>
      <c r="J277" s="398"/>
      <c r="K277" s="398"/>
      <c r="L277" s="398"/>
      <c r="M277" s="398"/>
      <c r="N277" s="398"/>
      <c r="O277" s="398"/>
      <c r="P277" s="398"/>
      <c r="Q277" s="398"/>
      <c r="R277" s="398"/>
      <c r="S277" s="398"/>
      <c r="T277" s="398"/>
    </row>
    <row r="278" spans="1:20" ht="95.25" customHeight="1">
      <c r="A278" s="398"/>
      <c r="B278" s="398"/>
      <c r="C278" s="398"/>
      <c r="D278" s="787" t="s">
        <v>599</v>
      </c>
      <c r="E278" s="764"/>
      <c r="F278" s="764"/>
      <c r="G278" s="764"/>
      <c r="H278" s="764"/>
      <c r="I278" s="764"/>
      <c r="J278" s="764"/>
      <c r="K278" s="764"/>
      <c r="L278" s="764"/>
      <c r="M278" s="764"/>
      <c r="N278" s="764"/>
      <c r="O278" s="764"/>
      <c r="P278" s="764"/>
      <c r="Q278" s="398"/>
      <c r="R278" s="398"/>
      <c r="S278" s="398"/>
      <c r="T278" s="398"/>
    </row>
    <row r="279" spans="1:20" ht="12.75" customHeight="1">
      <c r="A279" s="398"/>
      <c r="B279" s="398"/>
      <c r="C279" s="398"/>
      <c r="D279" s="398"/>
      <c r="E279" s="861" t="s">
        <v>600</v>
      </c>
      <c r="F279" s="862"/>
      <c r="G279" s="863"/>
      <c r="H279" s="863"/>
      <c r="I279" s="176"/>
      <c r="J279" s="398"/>
      <c r="K279" s="398"/>
      <c r="L279" s="398"/>
      <c r="M279" s="398"/>
      <c r="N279" s="398"/>
      <c r="O279" s="398"/>
      <c r="P279" s="398"/>
      <c r="Q279" s="398"/>
      <c r="R279" s="398"/>
      <c r="S279" s="398"/>
      <c r="T279" s="398"/>
    </row>
    <row r="280" spans="1:20" ht="22.5">
      <c r="A280" s="398"/>
      <c r="B280" s="398"/>
      <c r="C280" s="398"/>
      <c r="D280" s="398"/>
      <c r="E280" s="227" t="str">
        <f>E94</f>
        <v>Info Wrkr</v>
      </c>
      <c r="F280" s="228" t="str">
        <f>F94</f>
        <v>Task Wrkr</v>
      </c>
      <c r="G280" s="228" t="s">
        <v>601</v>
      </c>
      <c r="H280" s="689" t="s">
        <v>602</v>
      </c>
      <c r="I280" s="176"/>
      <c r="J280" s="398"/>
      <c r="K280" s="398"/>
      <c r="L280" s="398"/>
      <c r="M280" s="398"/>
      <c r="N280" s="398"/>
      <c r="O280" s="398"/>
      <c r="P280" s="398"/>
      <c r="Q280" s="398"/>
      <c r="R280" s="37" t="s">
        <v>232</v>
      </c>
      <c r="S280" s="270" t="s">
        <v>444</v>
      </c>
      <c r="T280" s="270" t="s">
        <v>445</v>
      </c>
    </row>
    <row r="281" spans="1:20" ht="14.25">
      <c r="A281" s="398"/>
      <c r="B281" s="398"/>
      <c r="C281" s="8" t="str">
        <f>C204</f>
        <v>Individual Computing</v>
      </c>
      <c r="D281" s="398"/>
      <c r="E281" s="398"/>
      <c r="F281" s="398"/>
      <c r="G281" s="398"/>
      <c r="H281" s="398"/>
      <c r="I281" s="176"/>
      <c r="J281" s="398"/>
      <c r="K281" s="398"/>
      <c r="L281" s="398"/>
      <c r="M281" s="398"/>
      <c r="N281" s="398"/>
      <c r="O281" s="398"/>
      <c r="P281" s="398"/>
      <c r="Q281" s="398"/>
      <c r="R281" s="270" t="s">
        <v>10</v>
      </c>
      <c r="S281" s="210" t="s">
        <v>603</v>
      </c>
      <c r="T281" s="202"/>
    </row>
    <row r="282" spans="1:20">
      <c r="A282" s="398"/>
      <c r="B282" s="398"/>
      <c r="C282" s="398"/>
      <c r="D282" s="36" t="str">
        <f>D205</f>
        <v>Document Creation</v>
      </c>
      <c r="E282" s="586">
        <f>G205*IWRate*52</f>
        <v>0</v>
      </c>
      <c r="F282" s="586">
        <f>K205*TWRate*52</f>
        <v>0</v>
      </c>
      <c r="G282" s="586">
        <f>E282*IWMix+F282*TWMix</f>
        <v>0</v>
      </c>
      <c r="H282" s="586">
        <f>G282*Productivity!$E$277</f>
        <v>0</v>
      </c>
      <c r="I282" s="176"/>
      <c r="J282" s="398"/>
      <c r="K282" s="398"/>
      <c r="L282" s="398"/>
      <c r="M282" s="398"/>
      <c r="N282" s="398"/>
      <c r="O282" s="398"/>
      <c r="P282" s="398"/>
      <c r="Q282" s="398"/>
      <c r="R282" s="270" t="s">
        <v>235</v>
      </c>
      <c r="S282" s="391" t="s">
        <v>604</v>
      </c>
      <c r="T282" s="202"/>
    </row>
    <row r="283" spans="1:20">
      <c r="A283" s="398"/>
      <c r="B283" s="398"/>
      <c r="C283" s="398"/>
      <c r="D283" s="36" t="str">
        <f>D206</f>
        <v>Data &amp; Information Access/Analysis</v>
      </c>
      <c r="E283" s="586">
        <f>G206*IWRate*52</f>
        <v>0</v>
      </c>
      <c r="F283" s="586">
        <f>K206*TWRate*52</f>
        <v>0</v>
      </c>
      <c r="G283" s="586">
        <f>E283*IWMix+F283*TWMix</f>
        <v>0</v>
      </c>
      <c r="H283" s="586">
        <f>G283*Productivity!$E$277</f>
        <v>0</v>
      </c>
      <c r="I283" s="176"/>
      <c r="J283" s="398"/>
      <c r="K283" s="398"/>
      <c r="L283" s="398"/>
      <c r="M283" s="398"/>
      <c r="N283" s="398"/>
      <c r="O283" s="398"/>
      <c r="P283" s="398"/>
      <c r="Q283" s="398"/>
      <c r="R283" s="270" t="s">
        <v>238</v>
      </c>
      <c r="S283" s="113"/>
      <c r="T283" s="181"/>
    </row>
    <row r="284" spans="1:20">
      <c r="A284" s="398"/>
      <c r="B284" s="398"/>
      <c r="C284" s="398"/>
      <c r="D284" s="36" t="str">
        <f>D207</f>
        <v>Email, Calendar, Contact, &amp; Task Mgmt</v>
      </c>
      <c r="E284" s="586">
        <f>G207*IWRate*52</f>
        <v>0</v>
      </c>
      <c r="F284" s="586">
        <f>K207*TWRate*52</f>
        <v>0</v>
      </c>
      <c r="G284" s="586">
        <f>E284*IWMix+F284*TWMix</f>
        <v>0</v>
      </c>
      <c r="H284" s="586">
        <f>G284*Productivity!$E$277</f>
        <v>0</v>
      </c>
      <c r="I284" s="176"/>
      <c r="J284" s="398"/>
      <c r="K284" s="398"/>
      <c r="L284" s="398"/>
      <c r="M284" s="398"/>
      <c r="N284" s="398"/>
      <c r="O284" s="398"/>
      <c r="P284" s="398"/>
      <c r="Q284" s="398"/>
      <c r="R284" s="77" t="s">
        <v>239</v>
      </c>
      <c r="S284" s="181"/>
      <c r="T284" s="181"/>
    </row>
    <row r="285" spans="1:20">
      <c r="A285" s="398"/>
      <c r="B285" s="398"/>
      <c r="C285" s="398"/>
      <c r="D285" s="36" t="str">
        <f>D208</f>
        <v>LOB Application-Related Activities</v>
      </c>
      <c r="E285" s="586">
        <f>G208*IWRate*52</f>
        <v>47.217186497429772</v>
      </c>
      <c r="F285" s="586">
        <f>K208*TWRate*52</f>
        <v>116.79790441253583</v>
      </c>
      <c r="G285" s="586">
        <f>E285*IWMix+F285*TWMix</f>
        <v>85.863849531159303</v>
      </c>
      <c r="H285" s="586">
        <f>G285*Productivity!$E$277</f>
        <v>42.931924765579652</v>
      </c>
      <c r="I285" s="176"/>
      <c r="J285" s="398"/>
      <c r="K285" s="398"/>
      <c r="L285" s="398"/>
      <c r="M285" s="398"/>
      <c r="N285" s="398"/>
      <c r="O285" s="398"/>
      <c r="P285" s="398"/>
      <c r="Q285" s="398"/>
      <c r="R285" s="398"/>
      <c r="S285" s="398"/>
      <c r="T285" s="398"/>
    </row>
    <row r="286" spans="1:20" ht="13.5" thickBot="1">
      <c r="A286" s="398"/>
      <c r="B286" s="398"/>
      <c r="C286" s="398"/>
      <c r="D286" s="226" t="str">
        <f>D209</f>
        <v>Other</v>
      </c>
      <c r="E286" s="586">
        <f>G209*IWRate*52</f>
        <v>0</v>
      </c>
      <c r="F286" s="586">
        <f>K209*TWRate*52</f>
        <v>0</v>
      </c>
      <c r="G286" s="586">
        <f>E286*IWMix+F286*TWMix</f>
        <v>0</v>
      </c>
      <c r="H286" s="586">
        <f>G286*Productivity!$E$277</f>
        <v>0</v>
      </c>
      <c r="I286" s="176"/>
      <c r="J286" s="398"/>
      <c r="K286" s="398"/>
      <c r="L286" s="398"/>
      <c r="M286" s="398"/>
      <c r="N286" s="398"/>
      <c r="O286" s="398"/>
      <c r="P286" s="398"/>
      <c r="Q286" s="398"/>
      <c r="R286" s="398"/>
      <c r="S286" s="398"/>
      <c r="T286" s="398"/>
    </row>
    <row r="287" spans="1:20" ht="13.5" thickTop="1">
      <c r="A287" s="398"/>
      <c r="B287" s="398"/>
      <c r="C287" s="398"/>
      <c r="D287" s="702" t="str">
        <f>$D$46</f>
        <v>Total</v>
      </c>
      <c r="E287" s="587">
        <f>SUM(E282:E286)</f>
        <v>47.217186497429772</v>
      </c>
      <c r="F287" s="588">
        <f>SUM(F282:F286)</f>
        <v>116.79790441253583</v>
      </c>
      <c r="G287" s="588">
        <f>SUM(G282:G286)</f>
        <v>85.863849531159303</v>
      </c>
      <c r="H287" s="588">
        <f>SUM(H282:H286)</f>
        <v>42.931924765579652</v>
      </c>
      <c r="I287" s="176"/>
      <c r="J287" s="398"/>
      <c r="K287" s="398"/>
      <c r="L287" s="398"/>
      <c r="M287" s="398"/>
      <c r="N287" s="398"/>
      <c r="O287" s="398"/>
      <c r="P287" s="398"/>
      <c r="Q287" s="398"/>
      <c r="R287" s="398"/>
      <c r="S287" s="398"/>
      <c r="T287" s="398"/>
    </row>
    <row r="288" spans="1:20" ht="14.25">
      <c r="A288" s="398"/>
      <c r="B288" s="398"/>
      <c r="C288" s="8" t="str">
        <f>C211</f>
        <v>Collaborative Computing</v>
      </c>
      <c r="D288" s="398"/>
      <c r="E288" s="236"/>
      <c r="F288" s="236"/>
      <c r="G288" s="236"/>
      <c r="H288" s="236"/>
      <c r="I288" s="176"/>
      <c r="J288" s="398"/>
      <c r="K288" s="398"/>
      <c r="L288" s="398"/>
      <c r="M288" s="398"/>
      <c r="N288" s="398"/>
      <c r="O288" s="398"/>
      <c r="P288" s="398"/>
      <c r="Q288" s="398"/>
      <c r="R288" s="398"/>
      <c r="S288" s="398"/>
      <c r="T288" s="398"/>
    </row>
    <row r="289" spans="1:20">
      <c r="A289" s="398"/>
      <c r="B289" s="398"/>
      <c r="C289" s="398"/>
      <c r="D289" s="36" t="str">
        <f>D212</f>
        <v>Document Collaboration</v>
      </c>
      <c r="E289" s="586">
        <f>G212*IWRate*52</f>
        <v>0</v>
      </c>
      <c r="F289" s="586">
        <f>K212*TWRate*52</f>
        <v>0</v>
      </c>
      <c r="G289" s="586">
        <f>E289*IWMix+F289*TWMix</f>
        <v>0</v>
      </c>
      <c r="H289" s="586">
        <f>G289*Productivity!$E$277</f>
        <v>0</v>
      </c>
      <c r="I289" s="176"/>
      <c r="J289" s="398"/>
      <c r="K289" s="398"/>
      <c r="L289" s="398"/>
      <c r="M289" s="398"/>
      <c r="N289" s="398"/>
      <c r="O289" s="398"/>
      <c r="P289" s="398"/>
      <c r="Q289" s="398"/>
      <c r="R289" s="398"/>
      <c r="S289" s="398"/>
      <c r="T289" s="398"/>
    </row>
    <row r="290" spans="1:20">
      <c r="A290" s="398"/>
      <c r="B290" s="398"/>
      <c r="C290" s="398"/>
      <c r="D290" s="36" t="str">
        <f>D213</f>
        <v>Workflow (routing)</v>
      </c>
      <c r="E290" s="586">
        <f>G213*IWRate*52</f>
        <v>0</v>
      </c>
      <c r="F290" s="586">
        <f>K213*TWRate*52</f>
        <v>0</v>
      </c>
      <c r="G290" s="586">
        <f>E290*IWMix+F290*TWMix</f>
        <v>0</v>
      </c>
      <c r="H290" s="586">
        <f>G290*Productivity!$E$277</f>
        <v>0</v>
      </c>
      <c r="I290" s="176"/>
      <c r="J290" s="398"/>
      <c r="K290" s="398"/>
      <c r="L290" s="398"/>
      <c r="M290" s="398"/>
      <c r="N290" s="398"/>
      <c r="O290" s="398"/>
      <c r="P290" s="398"/>
      <c r="Q290" s="398"/>
      <c r="R290" s="398"/>
      <c r="S290" s="398"/>
      <c r="T290" s="398"/>
    </row>
    <row r="291" spans="1:20">
      <c r="A291" s="398"/>
      <c r="B291" s="398"/>
      <c r="C291" s="398"/>
      <c r="D291" s="36" t="str">
        <f>D214</f>
        <v>Coordination / Project Mgmt</v>
      </c>
      <c r="E291" s="586">
        <f>G214*IWRate*52</f>
        <v>0</v>
      </c>
      <c r="F291" s="586">
        <f>K214*TWRate*52</f>
        <v>0</v>
      </c>
      <c r="G291" s="586">
        <f>E291*IWMix+F291*TWMix</f>
        <v>0</v>
      </c>
      <c r="H291" s="586">
        <f>G291*Productivity!$E$277</f>
        <v>0</v>
      </c>
      <c r="I291" s="176"/>
      <c r="J291" s="398"/>
      <c r="K291" s="398"/>
      <c r="L291" s="398"/>
      <c r="M291" s="398"/>
      <c r="N291" s="398"/>
      <c r="O291" s="398"/>
      <c r="P291" s="398"/>
      <c r="Q291" s="398"/>
      <c r="R291" s="398"/>
      <c r="S291" s="398"/>
      <c r="T291" s="398"/>
    </row>
    <row r="292" spans="1:20" ht="13.5" thickBot="1">
      <c r="A292" s="398"/>
      <c r="B292" s="398"/>
      <c r="C292" s="398"/>
      <c r="D292" s="226" t="str">
        <f>D215</f>
        <v>Other</v>
      </c>
      <c r="E292" s="586">
        <f>G215*IWRate*52</f>
        <v>0</v>
      </c>
      <c r="F292" s="586">
        <f>K215*TWRate*52</f>
        <v>0</v>
      </c>
      <c r="G292" s="586">
        <f>E292*IWMix+F292*TWMix</f>
        <v>0</v>
      </c>
      <c r="H292" s="586">
        <f>G292*Productivity!$E$277</f>
        <v>0</v>
      </c>
      <c r="I292" s="176"/>
      <c r="J292" s="398"/>
      <c r="K292" s="398"/>
      <c r="L292" s="398"/>
      <c r="M292" s="398"/>
      <c r="N292" s="398"/>
      <c r="O292" s="398"/>
      <c r="P292" s="398"/>
      <c r="Q292" s="398"/>
      <c r="R292" s="398"/>
      <c r="S292" s="398"/>
      <c r="T292" s="398"/>
    </row>
    <row r="293" spans="1:20" ht="13.5" thickTop="1">
      <c r="A293" s="398"/>
      <c r="B293" s="398"/>
      <c r="C293" s="398"/>
      <c r="D293" s="702" t="str">
        <f>$D$46</f>
        <v>Total</v>
      </c>
      <c r="E293" s="587">
        <f>SUM(E289:E292)</f>
        <v>0</v>
      </c>
      <c r="F293" s="588">
        <f>SUM(F289:F292)</f>
        <v>0</v>
      </c>
      <c r="G293" s="588">
        <f>SUM(G289:G292)</f>
        <v>0</v>
      </c>
      <c r="H293" s="588">
        <f>SUM(H289:H292)</f>
        <v>0</v>
      </c>
      <c r="I293" s="176"/>
      <c r="J293" s="398"/>
      <c r="K293" s="398"/>
      <c r="L293" s="398"/>
      <c r="M293" s="398"/>
      <c r="N293" s="398"/>
      <c r="O293" s="398"/>
      <c r="P293" s="398"/>
      <c r="Q293" s="398"/>
      <c r="R293" s="398"/>
      <c r="S293" s="398"/>
      <c r="T293" s="398"/>
    </row>
    <row r="294" spans="1:20" ht="14.25">
      <c r="A294" s="398"/>
      <c r="B294" s="398"/>
      <c r="C294" s="8" t="str">
        <f>C217</f>
        <v>PC Systems Management</v>
      </c>
      <c r="D294" s="398"/>
      <c r="E294" s="236"/>
      <c r="F294" s="236"/>
      <c r="G294" s="236"/>
      <c r="H294" s="236"/>
      <c r="I294" s="176"/>
      <c r="J294" s="398"/>
      <c r="K294" s="398"/>
      <c r="L294" s="398"/>
      <c r="M294" s="398"/>
      <c r="N294" s="398"/>
      <c r="O294" s="398"/>
      <c r="P294" s="398"/>
      <c r="Q294" s="398"/>
      <c r="R294" s="398"/>
      <c r="S294" s="398"/>
      <c r="T294" s="398"/>
    </row>
    <row r="295" spans="1:20">
      <c r="A295" s="398"/>
      <c r="B295" s="398"/>
      <c r="C295" s="398"/>
      <c r="D295" s="36" t="str">
        <f t="shared" ref="D295:D300" si="45">D218</f>
        <v>Support, Self-Help, &amp; Learning</v>
      </c>
      <c r="E295" s="586">
        <f t="shared" ref="E295:E300" si="46">G218*IWRate*52</f>
        <v>36.717074258182791</v>
      </c>
      <c r="F295" s="586">
        <f t="shared" ref="F295:F300" si="47">K218*TWRate*52</f>
        <v>16.501447520848014</v>
      </c>
      <c r="G295" s="586">
        <f t="shared" ref="G295:G300" si="48">E295*IWMix+F295*TWMix</f>
        <v>25.48886998057478</v>
      </c>
      <c r="H295" s="586">
        <f>G295*Productivity!$E$277</f>
        <v>12.74443499028739</v>
      </c>
      <c r="I295" s="176"/>
      <c r="J295" s="398"/>
      <c r="K295" s="398"/>
      <c r="L295" s="398"/>
      <c r="M295" s="398"/>
      <c r="N295" s="398"/>
      <c r="O295" s="398"/>
      <c r="P295" s="398"/>
      <c r="Q295" s="398"/>
      <c r="R295" s="398"/>
      <c r="S295" s="398"/>
      <c r="T295" s="398"/>
    </row>
    <row r="296" spans="1:20">
      <c r="A296" s="398"/>
      <c r="B296" s="398"/>
      <c r="C296" s="398"/>
      <c r="D296" s="36" t="str">
        <f t="shared" si="45"/>
        <v>Performance</v>
      </c>
      <c r="E296" s="586">
        <f t="shared" si="46"/>
        <v>36.174457397224415</v>
      </c>
      <c r="F296" s="586">
        <f t="shared" si="47"/>
        <v>14.225385793834493</v>
      </c>
      <c r="G296" s="586">
        <f t="shared" si="48"/>
        <v>23.983459667158542</v>
      </c>
      <c r="H296" s="586">
        <f>G296*Productivity!$E$277</f>
        <v>11.991729833579271</v>
      </c>
      <c r="I296" s="176"/>
      <c r="J296" s="398"/>
      <c r="K296" s="398"/>
      <c r="L296" s="398"/>
      <c r="M296" s="398"/>
      <c r="N296" s="398"/>
      <c r="O296" s="398"/>
      <c r="P296" s="398"/>
      <c r="Q296" s="398"/>
      <c r="R296" s="398"/>
      <c r="S296" s="398"/>
      <c r="T296" s="398"/>
    </row>
    <row r="297" spans="1:20">
      <c r="A297" s="398"/>
      <c r="B297" s="398"/>
      <c r="C297" s="398"/>
      <c r="D297" s="36" t="str">
        <f t="shared" si="45"/>
        <v>Mobility &amp; Remote Connectivity</v>
      </c>
      <c r="E297" s="586">
        <f t="shared" si="46"/>
        <v>13.302680728126687</v>
      </c>
      <c r="F297" s="586">
        <f t="shared" si="47"/>
        <v>1.8463053351366241</v>
      </c>
      <c r="G297" s="586">
        <f t="shared" si="48"/>
        <v>6.9395575430369849</v>
      </c>
      <c r="H297" s="586">
        <f>G297*Productivity!$E$277</f>
        <v>3.4697787715184925</v>
      </c>
      <c r="I297" s="176"/>
      <c r="J297" s="398"/>
      <c r="K297" s="398"/>
      <c r="L297" s="398"/>
      <c r="M297" s="398"/>
      <c r="N297" s="398"/>
      <c r="O297" s="398"/>
      <c r="P297" s="398"/>
      <c r="Q297" s="398"/>
      <c r="R297" s="398"/>
      <c r="S297" s="398"/>
      <c r="T297" s="398"/>
    </row>
    <row r="298" spans="1:20">
      <c r="A298" s="398"/>
      <c r="B298" s="398"/>
      <c r="C298" s="398"/>
      <c r="D298" s="36" t="str">
        <f t="shared" si="45"/>
        <v>Security &amp; Privacy</v>
      </c>
      <c r="E298" s="586">
        <f t="shared" si="46"/>
        <v>16.088113947712962</v>
      </c>
      <c r="F298" s="586">
        <f t="shared" si="47"/>
        <v>7.2998690257834875</v>
      </c>
      <c r="G298" s="586">
        <f t="shared" si="48"/>
        <v>11.206929183708713</v>
      </c>
      <c r="H298" s="586">
        <f>G298*Productivity!$E$277</f>
        <v>5.6034645918543564</v>
      </c>
      <c r="I298" s="176"/>
      <c r="J298" s="398"/>
      <c r="K298" s="398"/>
      <c r="L298" s="398"/>
      <c r="M298" s="398"/>
      <c r="N298" s="398"/>
      <c r="O298" s="398"/>
      <c r="P298" s="398"/>
      <c r="Q298" s="398"/>
      <c r="R298" s="398"/>
      <c r="S298" s="398"/>
      <c r="T298" s="398"/>
    </row>
    <row r="299" spans="1:20">
      <c r="A299" s="398"/>
      <c r="B299" s="398"/>
      <c r="C299" s="398"/>
      <c r="D299" s="36" t="str">
        <f t="shared" si="45"/>
        <v>System UI Navigation</v>
      </c>
      <c r="E299" s="586">
        <f t="shared" si="46"/>
        <v>0</v>
      </c>
      <c r="F299" s="586">
        <f t="shared" si="47"/>
        <v>0</v>
      </c>
      <c r="G299" s="586">
        <f t="shared" si="48"/>
        <v>0</v>
      </c>
      <c r="H299" s="586">
        <f>G299*Productivity!$E$277</f>
        <v>0</v>
      </c>
      <c r="I299" s="176"/>
      <c r="J299" s="398"/>
      <c r="K299" s="398"/>
      <c r="L299" s="398"/>
      <c r="M299" s="398"/>
      <c r="N299" s="398"/>
      <c r="O299" s="398"/>
      <c r="P299" s="398"/>
      <c r="Q299" s="398"/>
      <c r="R299" s="398"/>
      <c r="S299" s="398"/>
      <c r="T299" s="398"/>
    </row>
    <row r="300" spans="1:20" ht="13.5" thickBot="1">
      <c r="A300" s="398"/>
      <c r="B300" s="398"/>
      <c r="C300" s="398"/>
      <c r="D300" s="226" t="str">
        <f t="shared" si="45"/>
        <v>Availability &amp; Reliability</v>
      </c>
      <c r="E300" s="586">
        <f t="shared" si="46"/>
        <v>9.3292021708631481</v>
      </c>
      <c r="F300" s="586">
        <f t="shared" si="47"/>
        <v>5.5029781886675577</v>
      </c>
      <c r="G300" s="586">
        <f t="shared" si="48"/>
        <v>7.2040331102061179</v>
      </c>
      <c r="H300" s="586">
        <f>G300*Productivity!$E$277</f>
        <v>3.602016555103059</v>
      </c>
      <c r="I300" s="176"/>
      <c r="J300" s="398"/>
      <c r="K300" s="398"/>
      <c r="L300" s="398"/>
      <c r="M300" s="398"/>
      <c r="N300" s="398"/>
      <c r="O300" s="398"/>
      <c r="P300" s="398"/>
      <c r="Q300" s="398"/>
      <c r="R300" s="398"/>
      <c r="S300" s="398"/>
      <c r="T300" s="398"/>
    </row>
    <row r="301" spans="1:20" ht="13.5" thickTop="1">
      <c r="A301" s="398"/>
      <c r="B301" s="398"/>
      <c r="C301" s="398"/>
      <c r="D301" s="702" t="str">
        <f>$D$46</f>
        <v>Total</v>
      </c>
      <c r="E301" s="587">
        <f>SUM(E295:E300)</f>
        <v>111.61152850210999</v>
      </c>
      <c r="F301" s="588">
        <f>SUM(F295:F300)</f>
        <v>45.375985864270177</v>
      </c>
      <c r="G301" s="588">
        <f>SUM(G295:G300)</f>
        <v>74.822849484685122</v>
      </c>
      <c r="H301" s="588">
        <f>SUM(H295:H300)</f>
        <v>37.411424742342561</v>
      </c>
      <c r="I301" s="176"/>
      <c r="J301" s="398"/>
      <c r="K301" s="398"/>
      <c r="L301" s="398"/>
      <c r="M301" s="398"/>
      <c r="N301" s="398"/>
      <c r="O301" s="398"/>
      <c r="P301" s="398"/>
      <c r="Q301" s="398"/>
      <c r="R301" s="398"/>
      <c r="S301" s="398"/>
      <c r="T301" s="398"/>
    </row>
    <row r="302" spans="1:20" ht="15" thickBot="1">
      <c r="A302" s="398"/>
      <c r="B302" s="398"/>
      <c r="C302" s="8" t="str">
        <f>C225</f>
        <v>Non-Computing-Related Activities</v>
      </c>
      <c r="D302" s="398"/>
      <c r="E302" s="586">
        <f>G225*IWRate*52</f>
        <v>0</v>
      </c>
      <c r="F302" s="586">
        <f>K225*TWRate*52</f>
        <v>0</v>
      </c>
      <c r="G302" s="586">
        <f>E302*IWMix+F302*TWMix</f>
        <v>0</v>
      </c>
      <c r="H302" s="586">
        <f>G302*Productivity!$E$277</f>
        <v>0</v>
      </c>
      <c r="I302" s="176"/>
      <c r="J302" s="398"/>
      <c r="K302" s="398"/>
      <c r="L302" s="398"/>
      <c r="M302" s="398"/>
      <c r="N302" s="398"/>
      <c r="O302" s="398"/>
      <c r="P302" s="398"/>
      <c r="Q302" s="398"/>
      <c r="R302" s="398"/>
      <c r="S302" s="398"/>
      <c r="T302" s="398"/>
    </row>
    <row r="303" spans="1:20" ht="15" thickTop="1">
      <c r="A303" s="398"/>
      <c r="B303" s="398"/>
      <c r="C303" s="8" t="str">
        <f>$D$46</f>
        <v>Total</v>
      </c>
      <c r="D303" s="398"/>
      <c r="E303" s="588">
        <f>SUM(E287,E293,E301,E302)</f>
        <v>158.82871499953976</v>
      </c>
      <c r="F303" s="588">
        <f>SUM(F287,F293,F301,F302)</f>
        <v>162.17389027680599</v>
      </c>
      <c r="G303" s="588">
        <f>SUM(G287,G293,G301,G302)</f>
        <v>160.68669901584443</v>
      </c>
      <c r="H303" s="588">
        <f>SUM(H287,H293,H301,H302)</f>
        <v>80.343349507922213</v>
      </c>
      <c r="I303" s="176"/>
      <c r="J303" s="398"/>
      <c r="K303" s="398"/>
      <c r="L303" s="398"/>
      <c r="M303" s="398"/>
      <c r="N303" s="398"/>
      <c r="O303" s="398"/>
      <c r="P303" s="398"/>
      <c r="Q303" s="398"/>
      <c r="R303" s="398"/>
      <c r="S303" s="398"/>
      <c r="T303" s="398"/>
    </row>
    <row r="304" spans="1:20">
      <c r="A304" s="398"/>
      <c r="B304" s="398"/>
      <c r="C304" s="398"/>
      <c r="D304" s="398"/>
      <c r="E304" s="236"/>
      <c r="F304" s="236"/>
      <c r="G304" s="236"/>
      <c r="H304" s="236"/>
      <c r="I304" s="176"/>
      <c r="J304" s="398"/>
      <c r="K304" s="398"/>
      <c r="L304" s="398"/>
      <c r="M304" s="398"/>
      <c r="N304" s="398"/>
      <c r="O304" s="398"/>
      <c r="P304" s="398"/>
      <c r="Q304" s="398"/>
      <c r="R304" s="398"/>
      <c r="S304" s="398"/>
      <c r="T304" s="398"/>
    </row>
    <row r="305" spans="1:20" ht="14.25">
      <c r="A305" s="398"/>
      <c r="B305" s="398"/>
      <c r="C305" s="8" t="s">
        <v>229</v>
      </c>
      <c r="D305" s="398"/>
      <c r="E305" s="236"/>
      <c r="F305" s="236"/>
      <c r="G305" s="236"/>
      <c r="H305" s="236"/>
      <c r="I305" s="176"/>
      <c r="J305" s="398"/>
      <c r="K305" s="398"/>
      <c r="L305" s="398"/>
      <c r="M305" s="398"/>
      <c r="N305" s="398"/>
      <c r="O305" s="398"/>
      <c r="P305" s="398"/>
      <c r="Q305" s="398"/>
      <c r="R305" s="398"/>
      <c r="S305" s="398"/>
      <c r="T305" s="398"/>
    </row>
    <row r="306" spans="1:20">
      <c r="A306" s="398"/>
      <c r="B306" s="398"/>
      <c r="C306" s="398"/>
      <c r="D306" s="36" t="str">
        <f>C281</f>
        <v>Individual Computing</v>
      </c>
      <c r="E306" s="586">
        <f>E287</f>
        <v>47.217186497429772</v>
      </c>
      <c r="F306" s="586">
        <f>F287</f>
        <v>116.79790441253583</v>
      </c>
      <c r="G306" s="586">
        <f>G287</f>
        <v>85.863849531159303</v>
      </c>
      <c r="H306" s="586">
        <f>H287</f>
        <v>42.931924765579652</v>
      </c>
      <c r="I306" s="176"/>
      <c r="J306" s="398"/>
      <c r="K306" s="398"/>
      <c r="L306" s="398"/>
      <c r="M306" s="398"/>
      <c r="N306" s="398"/>
      <c r="O306" s="398"/>
      <c r="P306" s="398"/>
      <c r="Q306" s="398"/>
      <c r="R306" s="398"/>
      <c r="S306" s="398"/>
      <c r="T306" s="398"/>
    </row>
    <row r="307" spans="1:20">
      <c r="A307" s="398"/>
      <c r="B307" s="398"/>
      <c r="C307" s="398"/>
      <c r="D307" s="36" t="str">
        <f>C288</f>
        <v>Collaborative Computing</v>
      </c>
      <c r="E307" s="586">
        <f>E293</f>
        <v>0</v>
      </c>
      <c r="F307" s="586">
        <f>F293</f>
        <v>0</v>
      </c>
      <c r="G307" s="586">
        <f>G293</f>
        <v>0</v>
      </c>
      <c r="H307" s="586">
        <f>H293</f>
        <v>0</v>
      </c>
      <c r="I307" s="176"/>
      <c r="J307" s="398"/>
      <c r="K307" s="398"/>
      <c r="L307" s="398"/>
      <c r="M307" s="398"/>
      <c r="N307" s="398"/>
      <c r="O307" s="398"/>
      <c r="P307" s="398"/>
      <c r="Q307" s="398"/>
      <c r="R307" s="398"/>
      <c r="S307" s="398"/>
      <c r="T307" s="398"/>
    </row>
    <row r="308" spans="1:20">
      <c r="A308" s="398"/>
      <c r="B308" s="398"/>
      <c r="C308" s="398"/>
      <c r="D308" s="36" t="str">
        <f>C294</f>
        <v>PC Systems Management</v>
      </c>
      <c r="E308" s="586">
        <f t="shared" ref="E308:H309" si="49">E301</f>
        <v>111.61152850210999</v>
      </c>
      <c r="F308" s="586">
        <f t="shared" si="49"/>
        <v>45.375985864270177</v>
      </c>
      <c r="G308" s="586">
        <f t="shared" si="49"/>
        <v>74.822849484685122</v>
      </c>
      <c r="H308" s="586">
        <f t="shared" si="49"/>
        <v>37.411424742342561</v>
      </c>
      <c r="I308" s="176"/>
      <c r="J308" s="398"/>
      <c r="K308" s="398"/>
      <c r="L308" s="398"/>
      <c r="M308" s="398"/>
      <c r="N308" s="398"/>
      <c r="O308" s="398"/>
      <c r="P308" s="398"/>
      <c r="Q308" s="398"/>
      <c r="R308" s="398"/>
      <c r="S308" s="398"/>
      <c r="T308" s="398"/>
    </row>
    <row r="309" spans="1:20" ht="13.5" thickBot="1">
      <c r="A309" s="398"/>
      <c r="B309" s="398"/>
      <c r="C309" s="398"/>
      <c r="D309" s="226" t="str">
        <f>C302</f>
        <v>Non-Computing-Related Activities</v>
      </c>
      <c r="E309" s="586">
        <f t="shared" si="49"/>
        <v>0</v>
      </c>
      <c r="F309" s="586">
        <f t="shared" si="49"/>
        <v>0</v>
      </c>
      <c r="G309" s="586">
        <f t="shared" si="49"/>
        <v>0</v>
      </c>
      <c r="H309" s="586">
        <f t="shared" si="49"/>
        <v>0</v>
      </c>
      <c r="I309" s="176"/>
      <c r="J309" s="398"/>
      <c r="K309" s="398"/>
      <c r="L309" s="398"/>
      <c r="M309" s="398"/>
      <c r="N309" s="398"/>
      <c r="O309" s="398"/>
      <c r="P309" s="398"/>
      <c r="Q309" s="398"/>
      <c r="R309" s="398"/>
      <c r="S309" s="398"/>
      <c r="T309" s="398"/>
    </row>
    <row r="310" spans="1:20" ht="13.5" thickTop="1">
      <c r="A310" s="398"/>
      <c r="B310" s="398"/>
      <c r="C310" s="398"/>
      <c r="D310" s="702" t="str">
        <f>$D$46</f>
        <v>Total</v>
      </c>
      <c r="E310" s="587">
        <f>SUM(E306:E309)</f>
        <v>158.82871499953976</v>
      </c>
      <c r="F310" s="588">
        <f>SUM(F306:F309)</f>
        <v>162.17389027680599</v>
      </c>
      <c r="G310" s="588">
        <f>SUM(G306:G309)</f>
        <v>160.68669901584443</v>
      </c>
      <c r="H310" s="588">
        <f>SUM(H306:H309)</f>
        <v>80.343349507922213</v>
      </c>
      <c r="I310" s="176"/>
      <c r="J310" s="398"/>
      <c r="K310" s="398"/>
      <c r="L310" s="398"/>
      <c r="M310" s="398"/>
      <c r="N310" s="398"/>
      <c r="O310" s="398"/>
      <c r="P310" s="398"/>
      <c r="Q310" s="398"/>
      <c r="R310" s="398"/>
      <c r="S310" s="398"/>
      <c r="T310" s="398"/>
    </row>
    <row r="311" spans="1:20">
      <c r="A311" s="398"/>
      <c r="B311" s="398"/>
      <c r="C311" s="398"/>
      <c r="D311" s="398"/>
      <c r="E311" s="398"/>
      <c r="F311" s="398"/>
      <c r="G311" s="398"/>
      <c r="H311" s="398"/>
      <c r="I311" s="398"/>
      <c r="J311" s="398"/>
      <c r="K311" s="398"/>
      <c r="L311" s="398"/>
      <c r="M311" s="398"/>
      <c r="N311" s="398"/>
      <c r="O311" s="398"/>
      <c r="P311" s="398"/>
      <c r="Q311" s="398"/>
      <c r="R311" s="398"/>
      <c r="S311" s="398"/>
      <c r="T311" s="398"/>
    </row>
    <row r="312" spans="1:20">
      <c r="A312" s="398"/>
      <c r="B312" s="750" t="str">
        <f>CopyRight</f>
        <v>©AnalysisPlace.  www.analysisplace.com</v>
      </c>
      <c r="C312" s="750"/>
      <c r="D312" s="750"/>
      <c r="E312" s="750"/>
      <c r="F312" s="750"/>
      <c r="G312" s="750"/>
      <c r="H312" s="398"/>
      <c r="I312" s="398"/>
      <c r="J312" s="398"/>
      <c r="K312" s="398"/>
      <c r="L312" s="398"/>
      <c r="M312" s="398"/>
      <c r="N312" s="398"/>
      <c r="O312" s="398"/>
      <c r="P312" s="398"/>
      <c r="Q312" s="398"/>
      <c r="R312" s="398"/>
      <c r="S312" s="398"/>
      <c r="T312" s="398"/>
    </row>
    <row r="313" spans="1:20">
      <c r="A313" s="100" t="s">
        <v>164</v>
      </c>
      <c r="B313" s="398"/>
      <c r="C313" s="398"/>
      <c r="D313" s="398"/>
      <c r="E313" s="398"/>
      <c r="F313" s="398"/>
      <c r="G313" s="398"/>
      <c r="H313" s="398"/>
      <c r="I313" s="398"/>
      <c r="J313" s="398"/>
      <c r="K313" s="398"/>
      <c r="L313" s="398"/>
      <c r="M313" s="398"/>
      <c r="N313" s="398"/>
      <c r="O313" s="398"/>
      <c r="P313" s="398"/>
      <c r="Q313" s="398"/>
      <c r="R313" s="398"/>
      <c r="S313" s="398"/>
      <c r="T313" s="398"/>
    </row>
  </sheetData>
  <sheetProtection selectLockedCells="1"/>
  <mergeCells count="110">
    <mergeCell ref="L113:P113"/>
    <mergeCell ref="L114:P114"/>
    <mergeCell ref="L143:P143"/>
    <mergeCell ref="L144:P144"/>
    <mergeCell ref="L180:P180"/>
    <mergeCell ref="L25:P25"/>
    <mergeCell ref="L115:P115"/>
    <mergeCell ref="L118:P118"/>
    <mergeCell ref="L139:P139"/>
    <mergeCell ref="L140:P140"/>
    <mergeCell ref="L119:P119"/>
    <mergeCell ref="L165:P165"/>
    <mergeCell ref="L167:P167"/>
    <mergeCell ref="L168:P168"/>
    <mergeCell ref="E279:H279"/>
    <mergeCell ref="L149:P149"/>
    <mergeCell ref="L166:P166"/>
    <mergeCell ref="L172:P172"/>
    <mergeCell ref="L41:P41"/>
    <mergeCell ref="L30:P30"/>
    <mergeCell ref="L31:P31"/>
    <mergeCell ref="L32:P32"/>
    <mergeCell ref="L33:P33"/>
    <mergeCell ref="L96:P96"/>
    <mergeCell ref="L97:P97"/>
    <mergeCell ref="L98:P98"/>
    <mergeCell ref="L99:P99"/>
    <mergeCell ref="L100:P100"/>
    <mergeCell ref="L101:P101"/>
    <mergeCell ref="L104:P104"/>
    <mergeCell ref="L105:P105"/>
    <mergeCell ref="L145:P145"/>
    <mergeCell ref="L181:P181"/>
    <mergeCell ref="L171:P171"/>
    <mergeCell ref="L173:P173"/>
    <mergeCell ref="L174:P174"/>
    <mergeCell ref="L175:P175"/>
    <mergeCell ref="L162:P162"/>
    <mergeCell ref="L13:P13"/>
    <mergeCell ref="L94:P94"/>
    <mergeCell ref="L130:P130"/>
    <mergeCell ref="L155:P155"/>
    <mergeCell ref="L36:P36"/>
    <mergeCell ref="L37:P37"/>
    <mergeCell ref="L38:P38"/>
    <mergeCell ref="L39:P39"/>
    <mergeCell ref="L40:P40"/>
    <mergeCell ref="L124:P124"/>
    <mergeCell ref="L125:P125"/>
    <mergeCell ref="L126:P126"/>
    <mergeCell ref="L15:P15"/>
    <mergeCell ref="L16:P16"/>
    <mergeCell ref="L17:P17"/>
    <mergeCell ref="L18:P18"/>
    <mergeCell ref="L107:P107"/>
    <mergeCell ref="L108:P108"/>
    <mergeCell ref="L109:P109"/>
    <mergeCell ref="L112:P112"/>
    <mergeCell ref="L26:P26"/>
    <mergeCell ref="L27:P27"/>
    <mergeCell ref="L23:P23"/>
    <mergeCell ref="L24:P24"/>
    <mergeCell ref="J129:K129"/>
    <mergeCell ref="B92:P92"/>
    <mergeCell ref="L106:P106"/>
    <mergeCell ref="E154:F154"/>
    <mergeCell ref="G154:H154"/>
    <mergeCell ref="I154:I155"/>
    <mergeCell ref="J154:K154"/>
    <mergeCell ref="L178:P178"/>
    <mergeCell ref="L179:P179"/>
    <mergeCell ref="L148:P148"/>
    <mergeCell ref="L150:P150"/>
    <mergeCell ref="L157:P157"/>
    <mergeCell ref="L158:P158"/>
    <mergeCell ref="L159:P159"/>
    <mergeCell ref="L160:P160"/>
    <mergeCell ref="L161:P161"/>
    <mergeCell ref="L120:P120"/>
    <mergeCell ref="L123:P123"/>
    <mergeCell ref="L151:P151"/>
    <mergeCell ref="L132:P132"/>
    <mergeCell ref="L133:P133"/>
    <mergeCell ref="L134:P134"/>
    <mergeCell ref="L135:P135"/>
    <mergeCell ref="L138:P138"/>
    <mergeCell ref="B11:P11"/>
    <mergeCell ref="B3:P3"/>
    <mergeCell ref="B312:G312"/>
    <mergeCell ref="L190:P190"/>
    <mergeCell ref="L184:P184"/>
    <mergeCell ref="L185:P185"/>
    <mergeCell ref="L186:P186"/>
    <mergeCell ref="E202:H202"/>
    <mergeCell ref="I202:L202"/>
    <mergeCell ref="M202:P202"/>
    <mergeCell ref="L191:P191"/>
    <mergeCell ref="L189:P189"/>
    <mergeCell ref="B276:P276"/>
    <mergeCell ref="D278:P278"/>
    <mergeCell ref="B201:P201"/>
    <mergeCell ref="G12:H12"/>
    <mergeCell ref="E93:F93"/>
    <mergeCell ref="G93:H93"/>
    <mergeCell ref="J93:K93"/>
    <mergeCell ref="I93:I94"/>
    <mergeCell ref="E12:F12"/>
    <mergeCell ref="E129:F129"/>
    <mergeCell ref="G129:H129"/>
    <mergeCell ref="I129:I130"/>
  </mergeCells>
  <conditionalFormatting sqref="E19:F19 E28:F28 E34:F34 E42:F42 E101:F101 E109:F109 E115:F115 E120:F120 E126:F126 E135:F135 E140:F140 E145:F145 E151:F151 E162:F162 E168:F168 E175:F175 E181:F181 E186:F186 E191:F191">
    <cfRule type="cellIs" dxfId="0" priority="23" operator="notEqual">
      <formula>1</formula>
    </cfRule>
  </conditionalFormatting>
  <pageMargins left="0.7" right="0.7" top="0.75" bottom="0.75" header="0.3" footer="0.3"/>
  <pageSetup scale="60" fitToHeight="100" orientation="portrait" horizontalDpi="300" verticalDpi="300" r:id="rId1"/>
  <headerFooter>
    <oddHeader>&amp;CAnalysisPlace.com   IT Project ROI and Business Case Toolkit</oddHeader>
    <oddFooter>&amp;L&amp;A&amp;C&amp;F&amp;R&amp;P of &amp;N</oddFooter>
  </headerFooter>
  <rowBreaks count="4" manualBreakCount="4">
    <brk id="68" max="16" man="1"/>
    <brk id="128" max="16" man="1"/>
    <brk id="199" max="16" man="1"/>
    <brk id="274" max="1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tabColor rgb="FF00B050"/>
  </sheetPr>
  <dimension ref="A1:R41"/>
  <sheetViews>
    <sheetView showGridLines="0" workbookViewId="0" xr3:uid="{85D5C41F-068E-5C55-9968-509E7C2A5619}"/>
  </sheetViews>
  <sheetFormatPr defaultColWidth="9.140625" defaultRowHeight="12.75"/>
  <cols>
    <col min="1" max="1" width="2.5703125" style="32" customWidth="1"/>
    <col min="2" max="2" width="32.85546875" style="32" customWidth="1"/>
    <col min="3" max="3" width="9.140625" style="32" bestFit="1" customWidth="1"/>
    <col min="4" max="4" width="15.85546875" style="32" bestFit="1" customWidth="1"/>
    <col min="5" max="5" width="7.42578125" style="32" bestFit="1" customWidth="1"/>
    <col min="6" max="8" width="6.42578125" style="32" bestFit="1" customWidth="1"/>
    <col min="9" max="9" width="8.28515625" style="32" bestFit="1" customWidth="1"/>
    <col min="10" max="10" width="6.42578125" style="32" bestFit="1" customWidth="1"/>
    <col min="11" max="11" width="7.42578125" style="32" bestFit="1" customWidth="1"/>
    <col min="12" max="12" width="6.28515625" style="32" bestFit="1" customWidth="1"/>
    <col min="13" max="13" width="13.28515625" style="32" bestFit="1" customWidth="1"/>
    <col min="14" max="14" width="32.7109375" style="32" customWidth="1"/>
    <col min="15" max="15" width="1.42578125" customWidth="1"/>
  </cols>
  <sheetData>
    <row r="1" spans="1:18" s="105" customFormat="1" ht="30" customHeight="1">
      <c r="A1" s="419"/>
      <c r="B1" s="420" t="s">
        <v>165</v>
      </c>
      <c r="C1" s="419"/>
      <c r="D1" s="419"/>
      <c r="E1" s="419"/>
      <c r="F1" s="419"/>
      <c r="G1" s="419"/>
      <c r="H1" s="419"/>
      <c r="I1" s="419"/>
      <c r="J1" s="419"/>
      <c r="K1" s="419"/>
      <c r="L1" s="419"/>
      <c r="M1" s="419"/>
      <c r="N1" s="419"/>
      <c r="O1" s="419"/>
      <c r="P1" s="100" t="s">
        <v>0</v>
      </c>
      <c r="Q1" s="398"/>
      <c r="R1" s="398"/>
    </row>
    <row r="2" spans="1:18" ht="27">
      <c r="A2" s="4" t="s">
        <v>605</v>
      </c>
      <c r="B2" s="398"/>
      <c r="C2" s="398"/>
      <c r="D2" s="639"/>
      <c r="E2" s="639"/>
      <c r="F2" s="639"/>
      <c r="G2" s="639"/>
      <c r="H2" s="639"/>
      <c r="I2" s="639"/>
      <c r="J2" s="639"/>
      <c r="K2" s="639"/>
      <c r="L2" s="639"/>
      <c r="M2" s="639"/>
      <c r="N2" s="398"/>
      <c r="O2" s="398"/>
      <c r="P2" s="398"/>
      <c r="Q2" s="398"/>
      <c r="R2" s="398"/>
    </row>
    <row r="3" spans="1:18" ht="90" customHeight="1">
      <c r="A3" s="398"/>
      <c r="B3" s="790" t="s">
        <v>606</v>
      </c>
      <c r="C3" s="790"/>
      <c r="D3" s="790"/>
      <c r="E3" s="790"/>
      <c r="F3" s="790"/>
      <c r="G3" s="790"/>
      <c r="H3" s="790"/>
      <c r="I3" s="790"/>
      <c r="J3" s="790"/>
      <c r="K3" s="790"/>
      <c r="L3" s="790"/>
      <c r="M3" s="790"/>
      <c r="N3" s="790"/>
      <c r="O3" s="398"/>
      <c r="P3" s="398"/>
      <c r="Q3" s="398"/>
      <c r="R3" s="398"/>
    </row>
    <row r="4" spans="1:18" s="32" customFormat="1" ht="9.75" customHeight="1">
      <c r="A4" s="3"/>
      <c r="B4" s="398"/>
      <c r="C4" s="398"/>
      <c r="D4" s="398"/>
      <c r="E4" s="398"/>
      <c r="F4" s="398"/>
      <c r="G4" s="398"/>
      <c r="H4" s="398"/>
      <c r="I4" s="398"/>
      <c r="J4" s="398"/>
      <c r="K4" s="398"/>
      <c r="L4" s="398"/>
      <c r="M4" s="398"/>
      <c r="N4" s="398"/>
      <c r="O4" s="398"/>
      <c r="P4" s="398"/>
      <c r="Q4" s="398"/>
      <c r="R4" s="398"/>
    </row>
    <row r="5" spans="1:18" ht="13.5" customHeight="1" thickBot="1">
      <c r="A5" s="398"/>
      <c r="B5" s="398"/>
      <c r="C5" s="841" t="s">
        <v>607</v>
      </c>
      <c r="D5" s="796"/>
      <c r="E5" s="398"/>
      <c r="F5" s="841" t="s">
        <v>608</v>
      </c>
      <c r="G5" s="796"/>
      <c r="H5" s="841"/>
      <c r="I5" s="841"/>
      <c r="J5" s="841"/>
      <c r="K5" s="841"/>
      <c r="L5" s="841"/>
      <c r="M5" s="398"/>
      <c r="N5" s="398"/>
      <c r="O5" s="398"/>
      <c r="P5" s="398"/>
      <c r="Q5" s="398"/>
      <c r="R5" s="398"/>
    </row>
    <row r="6" spans="1:18" ht="102.75" customHeight="1" thickBot="1">
      <c r="A6" s="398"/>
      <c r="B6" s="691" t="s">
        <v>609</v>
      </c>
      <c r="C6" s="691" t="s">
        <v>610</v>
      </c>
      <c r="D6" s="680" t="s">
        <v>611</v>
      </c>
      <c r="E6" s="691" t="s">
        <v>612</v>
      </c>
      <c r="F6" s="510" t="s">
        <v>613</v>
      </c>
      <c r="G6" s="511" t="s">
        <v>614</v>
      </c>
      <c r="H6" s="511" t="s">
        <v>615</v>
      </c>
      <c r="I6" s="511" t="s">
        <v>616</v>
      </c>
      <c r="J6" s="511" t="s">
        <v>617</v>
      </c>
      <c r="K6" s="511" t="s">
        <v>618</v>
      </c>
      <c r="L6" s="512" t="s">
        <v>252</v>
      </c>
      <c r="M6" s="690" t="s">
        <v>619</v>
      </c>
      <c r="N6" s="686" t="s">
        <v>246</v>
      </c>
      <c r="O6" s="398"/>
      <c r="P6" s="398"/>
      <c r="Q6" s="398"/>
      <c r="R6" s="398"/>
    </row>
    <row r="7" spans="1:18">
      <c r="A7" s="398"/>
      <c r="B7" s="495" t="s">
        <v>620</v>
      </c>
      <c r="C7" s="513">
        <v>0.03</v>
      </c>
      <c r="D7" s="589">
        <f t="shared" ref="D7:D15" si="0">C7*D$16</f>
        <v>67005.107019249146</v>
      </c>
      <c r="E7" s="514">
        <f t="shared" ref="E7:E14" si="1">Margin</f>
        <v>0.1703028465807406</v>
      </c>
      <c r="F7" s="515">
        <f>Test!$E$113*10%</f>
        <v>0</v>
      </c>
      <c r="G7" s="515">
        <f>Test!$E$114*5%</f>
        <v>0</v>
      </c>
      <c r="H7" s="515">
        <f>Test!$E$115*5%</f>
        <v>0</v>
      </c>
      <c r="I7" s="515">
        <f>Test!$E$116*4%</f>
        <v>0</v>
      </c>
      <c r="J7" s="515">
        <f>Test!$E$117*4%</f>
        <v>0</v>
      </c>
      <c r="K7" s="515">
        <f>Test!$E$118*4%</f>
        <v>2E-3</v>
      </c>
      <c r="L7" s="516">
        <f>Test!$E$119*1%</f>
        <v>0</v>
      </c>
      <c r="M7" s="589">
        <f>D7*E7*SUM(F7:L7)</f>
        <v>22.822320921650586</v>
      </c>
      <c r="N7" s="683"/>
      <c r="O7" s="398"/>
      <c r="P7" s="294" t="s">
        <v>620</v>
      </c>
      <c r="Q7" s="307" t="s">
        <v>613</v>
      </c>
      <c r="R7" s="398"/>
    </row>
    <row r="8" spans="1:18" s="21" customFormat="1">
      <c r="A8" s="398"/>
      <c r="B8" s="497" t="s">
        <v>621</v>
      </c>
      <c r="C8" s="516">
        <v>0.03</v>
      </c>
      <c r="D8" s="544">
        <f t="shared" si="0"/>
        <v>67005.107019249146</v>
      </c>
      <c r="E8" s="517">
        <f t="shared" si="1"/>
        <v>0.1703028465807406</v>
      </c>
      <c r="F8" s="515">
        <f t="shared" ref="F8:L8" si="2">F7</f>
        <v>0</v>
      </c>
      <c r="G8" s="515">
        <f>G7</f>
        <v>0</v>
      </c>
      <c r="H8" s="515">
        <f>H7</f>
        <v>0</v>
      </c>
      <c r="I8" s="515">
        <f t="shared" si="2"/>
        <v>0</v>
      </c>
      <c r="J8" s="515">
        <f t="shared" si="2"/>
        <v>0</v>
      </c>
      <c r="K8" s="515">
        <f t="shared" si="2"/>
        <v>2E-3</v>
      </c>
      <c r="L8" s="516">
        <f t="shared" si="2"/>
        <v>0</v>
      </c>
      <c r="M8" s="544">
        <f t="shared" ref="M8:M15" si="3">D8*E8*SUM(F8:L8)</f>
        <v>22.822320921650586</v>
      </c>
      <c r="N8" s="684"/>
      <c r="O8" s="398"/>
      <c r="P8" s="294" t="s">
        <v>621</v>
      </c>
      <c r="Q8" s="307" t="s">
        <v>614</v>
      </c>
      <c r="R8" s="398"/>
    </row>
    <row r="9" spans="1:18" s="21" customFormat="1">
      <c r="A9" s="398"/>
      <c r="B9" s="497" t="s">
        <v>622</v>
      </c>
      <c r="C9" s="516">
        <v>0.03</v>
      </c>
      <c r="D9" s="544">
        <f t="shared" si="0"/>
        <v>67005.107019249146</v>
      </c>
      <c r="E9" s="517">
        <f t="shared" si="1"/>
        <v>0.1703028465807406</v>
      </c>
      <c r="F9" s="515">
        <f t="shared" ref="F9:J14" si="4">F8</f>
        <v>0</v>
      </c>
      <c r="G9" s="515">
        <f>G8</f>
        <v>0</v>
      </c>
      <c r="H9" s="515">
        <f>H8</f>
        <v>0</v>
      </c>
      <c r="I9" s="515">
        <f t="shared" si="4"/>
        <v>0</v>
      </c>
      <c r="J9" s="515">
        <f t="shared" si="4"/>
        <v>0</v>
      </c>
      <c r="K9" s="515">
        <v>0</v>
      </c>
      <c r="L9" s="516">
        <f t="shared" ref="L9:L14" si="5">L8</f>
        <v>0</v>
      </c>
      <c r="M9" s="544">
        <f t="shared" si="3"/>
        <v>0</v>
      </c>
      <c r="N9" s="684"/>
      <c r="O9" s="398"/>
      <c r="P9" s="294" t="s">
        <v>622</v>
      </c>
      <c r="Q9" s="307" t="s">
        <v>615</v>
      </c>
      <c r="R9" s="398"/>
    </row>
    <row r="10" spans="1:18" s="21" customFormat="1">
      <c r="A10" s="398"/>
      <c r="B10" s="497" t="s">
        <v>623</v>
      </c>
      <c r="C10" s="516">
        <v>0.02</v>
      </c>
      <c r="D10" s="544">
        <f t="shared" si="0"/>
        <v>44670.0713461661</v>
      </c>
      <c r="E10" s="517">
        <f t="shared" si="1"/>
        <v>0.1703028465807406</v>
      </c>
      <c r="F10" s="515">
        <f t="shared" si="4"/>
        <v>0</v>
      </c>
      <c r="G10" s="515">
        <f t="shared" si="4"/>
        <v>0</v>
      </c>
      <c r="H10" s="515">
        <f t="shared" si="4"/>
        <v>0</v>
      </c>
      <c r="I10" s="515">
        <f t="shared" si="4"/>
        <v>0</v>
      </c>
      <c r="J10" s="515">
        <f t="shared" si="4"/>
        <v>0</v>
      </c>
      <c r="K10" s="515">
        <f>K9</f>
        <v>0</v>
      </c>
      <c r="L10" s="516">
        <f t="shared" si="5"/>
        <v>0</v>
      </c>
      <c r="M10" s="544">
        <f t="shared" si="3"/>
        <v>0</v>
      </c>
      <c r="N10" s="684"/>
      <c r="O10" s="398"/>
      <c r="P10" s="294" t="s">
        <v>623</v>
      </c>
      <c r="Q10" s="307" t="s">
        <v>616</v>
      </c>
      <c r="R10" s="398"/>
    </row>
    <row r="11" spans="1:18" s="21" customFormat="1">
      <c r="A11" s="398"/>
      <c r="B11" s="497" t="s">
        <v>624</v>
      </c>
      <c r="C11" s="516">
        <v>0.02</v>
      </c>
      <c r="D11" s="544">
        <f t="shared" si="0"/>
        <v>44670.0713461661</v>
      </c>
      <c r="E11" s="517">
        <f t="shared" si="1"/>
        <v>0.1703028465807406</v>
      </c>
      <c r="F11" s="515">
        <f t="shared" si="4"/>
        <v>0</v>
      </c>
      <c r="G11" s="515">
        <f t="shared" si="4"/>
        <v>0</v>
      </c>
      <c r="H11" s="515">
        <f t="shared" si="4"/>
        <v>0</v>
      </c>
      <c r="I11" s="515">
        <f t="shared" si="4"/>
        <v>0</v>
      </c>
      <c r="J11" s="515">
        <f t="shared" si="4"/>
        <v>0</v>
      </c>
      <c r="K11" s="515">
        <f>Test!$E$118*4%</f>
        <v>2E-3</v>
      </c>
      <c r="L11" s="516">
        <f t="shared" si="5"/>
        <v>0</v>
      </c>
      <c r="M11" s="544">
        <f t="shared" si="3"/>
        <v>15.214880614433726</v>
      </c>
      <c r="N11" s="684"/>
      <c r="O11" s="398"/>
      <c r="P11" s="294" t="s">
        <v>624</v>
      </c>
      <c r="Q11" s="307" t="s">
        <v>617</v>
      </c>
      <c r="R11" s="398"/>
    </row>
    <row r="12" spans="1:18" s="21" customFormat="1">
      <c r="A12" s="398"/>
      <c r="B12" s="497" t="s">
        <v>625</v>
      </c>
      <c r="C12" s="516">
        <v>0.02</v>
      </c>
      <c r="D12" s="544">
        <f t="shared" si="0"/>
        <v>44670.0713461661</v>
      </c>
      <c r="E12" s="517">
        <f t="shared" si="1"/>
        <v>0.1703028465807406</v>
      </c>
      <c r="F12" s="515">
        <f t="shared" si="4"/>
        <v>0</v>
      </c>
      <c r="G12" s="515">
        <f t="shared" si="4"/>
        <v>0</v>
      </c>
      <c r="H12" s="515">
        <f t="shared" si="4"/>
        <v>0</v>
      </c>
      <c r="I12" s="515">
        <f t="shared" si="4"/>
        <v>0</v>
      </c>
      <c r="J12" s="515">
        <f t="shared" si="4"/>
        <v>0</v>
      </c>
      <c r="K12" s="515">
        <f>K11</f>
        <v>2E-3</v>
      </c>
      <c r="L12" s="516">
        <f t="shared" si="5"/>
        <v>0</v>
      </c>
      <c r="M12" s="544">
        <f t="shared" si="3"/>
        <v>15.214880614433726</v>
      </c>
      <c r="N12" s="684"/>
      <c r="O12" s="398"/>
      <c r="P12" s="181" t="s">
        <v>625</v>
      </c>
      <c r="Q12" s="398" t="s">
        <v>618</v>
      </c>
      <c r="R12" s="398"/>
    </row>
    <row r="13" spans="1:18" s="21" customFormat="1">
      <c r="A13" s="398"/>
      <c r="B13" s="497" t="s">
        <v>626</v>
      </c>
      <c r="C13" s="516">
        <v>0.02</v>
      </c>
      <c r="D13" s="544">
        <f t="shared" si="0"/>
        <v>44670.0713461661</v>
      </c>
      <c r="E13" s="517">
        <f t="shared" si="1"/>
        <v>0.1703028465807406</v>
      </c>
      <c r="F13" s="515">
        <f t="shared" si="4"/>
        <v>0</v>
      </c>
      <c r="G13" s="515">
        <f t="shared" si="4"/>
        <v>0</v>
      </c>
      <c r="H13" s="515">
        <f t="shared" si="4"/>
        <v>0</v>
      </c>
      <c r="I13" s="515">
        <f t="shared" si="4"/>
        <v>0</v>
      </c>
      <c r="J13" s="515">
        <f t="shared" si="4"/>
        <v>0</v>
      </c>
      <c r="K13" s="515">
        <v>0</v>
      </c>
      <c r="L13" s="516">
        <f t="shared" si="5"/>
        <v>0</v>
      </c>
      <c r="M13" s="544">
        <f t="shared" si="3"/>
        <v>0</v>
      </c>
      <c r="N13" s="684"/>
      <c r="O13" s="398"/>
      <c r="P13" s="308" t="s">
        <v>626</v>
      </c>
      <c r="Q13" s="307" t="s">
        <v>252</v>
      </c>
      <c r="R13" s="398"/>
    </row>
    <row r="14" spans="1:18" s="21" customFormat="1" ht="13.5" thickBot="1">
      <c r="A14" s="398"/>
      <c r="B14" s="497" t="s">
        <v>627</v>
      </c>
      <c r="C14" s="518">
        <v>0.01</v>
      </c>
      <c r="D14" s="544">
        <f t="shared" si="0"/>
        <v>22335.03567308305</v>
      </c>
      <c r="E14" s="517">
        <f t="shared" si="1"/>
        <v>0.1703028465807406</v>
      </c>
      <c r="F14" s="515">
        <f t="shared" si="4"/>
        <v>0</v>
      </c>
      <c r="G14" s="515">
        <f t="shared" si="4"/>
        <v>0</v>
      </c>
      <c r="H14" s="515">
        <f t="shared" si="4"/>
        <v>0</v>
      </c>
      <c r="I14" s="515">
        <f t="shared" si="4"/>
        <v>0</v>
      </c>
      <c r="J14" s="515">
        <f t="shared" si="4"/>
        <v>0</v>
      </c>
      <c r="K14" s="515">
        <v>0</v>
      </c>
      <c r="L14" s="516">
        <f t="shared" si="5"/>
        <v>0</v>
      </c>
      <c r="M14" s="544">
        <f t="shared" si="3"/>
        <v>0</v>
      </c>
      <c r="N14" s="684"/>
      <c r="O14" s="398"/>
      <c r="P14" s="210" t="s">
        <v>627</v>
      </c>
      <c r="Q14" s="398"/>
      <c r="R14" s="398"/>
    </row>
    <row r="15" spans="1:18" s="21" customFormat="1" ht="13.5" thickBot="1">
      <c r="A15" s="398"/>
      <c r="B15" s="519" t="s">
        <v>628</v>
      </c>
      <c r="C15" s="241">
        <f>1-SUM(C7:C14)</f>
        <v>0.82000000000000006</v>
      </c>
      <c r="D15" s="590">
        <f t="shared" si="0"/>
        <v>1831472.9251928101</v>
      </c>
      <c r="E15" s="520">
        <v>0</v>
      </c>
      <c r="F15" s="521">
        <v>0</v>
      </c>
      <c r="G15" s="521">
        <v>0</v>
      </c>
      <c r="H15" s="521">
        <v>0</v>
      </c>
      <c r="I15" s="521">
        <v>0</v>
      </c>
      <c r="J15" s="521">
        <v>0</v>
      </c>
      <c r="K15" s="521">
        <v>0</v>
      </c>
      <c r="L15" s="518">
        <v>0</v>
      </c>
      <c r="M15" s="544">
        <f t="shared" si="3"/>
        <v>0</v>
      </c>
      <c r="N15" s="685"/>
      <c r="O15" s="398"/>
      <c r="P15" s="181" t="s">
        <v>628</v>
      </c>
      <c r="Q15" s="398"/>
      <c r="R15" s="398"/>
    </row>
    <row r="16" spans="1:18" s="21" customFormat="1" ht="14.25" thickTop="1" thickBot="1">
      <c r="A16" s="398"/>
      <c r="B16" s="442" t="s">
        <v>259</v>
      </c>
      <c r="C16" s="168">
        <f>SUM(C7:C15)</f>
        <v>1</v>
      </c>
      <c r="D16" s="540">
        <f>Revenue*1000</f>
        <v>2233503.5673083048</v>
      </c>
      <c r="E16" s="167">
        <f>SUMPRODUCT(E7:E15,D7:D15)/D16</f>
        <v>3.0654512384533313E-2</v>
      </c>
      <c r="F16" s="398"/>
      <c r="G16" s="398"/>
      <c r="H16" s="398"/>
      <c r="I16" s="398"/>
      <c r="J16" s="398"/>
      <c r="K16" s="398"/>
      <c r="L16" s="398"/>
      <c r="M16" s="698">
        <f>SUM(M7:M15)</f>
        <v>76.074403072168622</v>
      </c>
      <c r="N16" s="398"/>
      <c r="O16" s="398"/>
      <c r="P16" s="398"/>
      <c r="Q16" s="398"/>
      <c r="R16" s="398"/>
    </row>
    <row r="17" spans="1:18">
      <c r="A17" s="398"/>
      <c r="B17" s="398"/>
      <c r="C17" s="398"/>
      <c r="D17" s="591"/>
      <c r="E17" s="398"/>
      <c r="F17" s="398"/>
      <c r="G17" s="398"/>
      <c r="H17" s="398"/>
      <c r="I17" s="398"/>
      <c r="J17" s="398"/>
      <c r="K17" s="398"/>
      <c r="L17" s="398"/>
      <c r="M17" s="398"/>
      <c r="N17" s="398"/>
      <c r="O17" s="398"/>
      <c r="P17" s="398"/>
      <c r="Q17" s="398"/>
      <c r="R17" s="398"/>
    </row>
    <row r="18" spans="1:18" ht="22.5">
      <c r="A18" s="3" t="s">
        <v>229</v>
      </c>
      <c r="B18" s="398"/>
      <c r="C18" s="398"/>
      <c r="D18" s="398"/>
      <c r="E18" s="398"/>
      <c r="F18" s="398"/>
      <c r="G18" s="398"/>
      <c r="H18" s="398"/>
      <c r="I18" s="398"/>
      <c r="J18" s="398"/>
      <c r="K18" s="398"/>
      <c r="L18" s="398"/>
      <c r="M18" s="398"/>
      <c r="N18" s="398"/>
      <c r="O18" s="398"/>
      <c r="P18" s="398"/>
      <c r="Q18" s="398"/>
      <c r="R18" s="398"/>
    </row>
    <row r="19" spans="1:18" s="32" customFormat="1" ht="24" customHeight="1">
      <c r="A19" s="6"/>
      <c r="B19" s="399" t="s">
        <v>629</v>
      </c>
      <c r="C19" s="398"/>
      <c r="D19" s="398"/>
      <c r="E19" s="398"/>
      <c r="F19" s="398"/>
      <c r="G19" s="398"/>
      <c r="H19" s="398"/>
      <c r="I19" s="398"/>
      <c r="J19" s="398"/>
      <c r="K19" s="398"/>
      <c r="L19" s="398"/>
      <c r="M19" s="398"/>
      <c r="N19" s="398"/>
      <c r="O19" s="398"/>
      <c r="P19" s="398"/>
      <c r="Q19" s="398"/>
      <c r="R19" s="398"/>
    </row>
    <row r="20" spans="1:18" ht="25.5" customHeight="1">
      <c r="A20" s="398"/>
      <c r="B20" s="398"/>
      <c r="C20" s="398"/>
      <c r="D20" s="680" t="s">
        <v>611</v>
      </c>
      <c r="E20" s="835" t="s">
        <v>630</v>
      </c>
      <c r="F20" s="783"/>
      <c r="G20" s="782"/>
      <c r="H20" s="835" t="s">
        <v>631</v>
      </c>
      <c r="I20" s="783"/>
      <c r="J20" s="835"/>
      <c r="K20" s="398"/>
      <c r="L20" s="398"/>
      <c r="M20" s="398"/>
      <c r="N20" s="398"/>
      <c r="O20" s="398"/>
      <c r="P20" s="37" t="s">
        <v>232</v>
      </c>
      <c r="Q20" s="270" t="s">
        <v>444</v>
      </c>
      <c r="R20" s="398"/>
    </row>
    <row r="21" spans="1:18">
      <c r="A21" s="398"/>
      <c r="B21" s="864" t="str">
        <f>F6</f>
        <v>Improved Sales Effectiveness</v>
      </c>
      <c r="C21" s="864"/>
      <c r="D21" s="699">
        <f>SUMPRODUCT(F$7:F$15,$D$7:$D$15)</f>
        <v>0</v>
      </c>
      <c r="E21" s="865">
        <f>SUMPRODUCT(F$7:F$15,$E$7:$E$15,$D$7:$D$15)</f>
        <v>0</v>
      </c>
      <c r="F21" s="866"/>
      <c r="G21" s="866"/>
      <c r="H21" s="865">
        <f t="shared" ref="H21:H27" si="6">E21/PCUsers*1000</f>
        <v>0</v>
      </c>
      <c r="I21" s="866"/>
      <c r="J21" s="866"/>
      <c r="K21" s="398"/>
      <c r="L21" s="398"/>
      <c r="M21" s="398"/>
      <c r="N21" s="398"/>
      <c r="O21" s="398"/>
      <c r="P21" s="270" t="s">
        <v>10</v>
      </c>
      <c r="Q21" s="210" t="s">
        <v>632</v>
      </c>
      <c r="R21" s="398"/>
    </row>
    <row r="22" spans="1:18" s="21" customFormat="1">
      <c r="A22" s="398"/>
      <c r="B22" s="864" t="str">
        <f>G6</f>
        <v>Improved Marketing Effectiveness</v>
      </c>
      <c r="C22" s="864"/>
      <c r="D22" s="697">
        <f>SUMPRODUCT(G$7:G$15,$D$7:$D$15)</f>
        <v>0</v>
      </c>
      <c r="E22" s="866">
        <f>SUMPRODUCT(G$7:G$15,$E$7:$E$15,$D$7:$D$15)</f>
        <v>0</v>
      </c>
      <c r="F22" s="866"/>
      <c r="G22" s="866"/>
      <c r="H22" s="866">
        <f t="shared" si="6"/>
        <v>0</v>
      </c>
      <c r="I22" s="866"/>
      <c r="J22" s="866"/>
      <c r="K22" s="398"/>
      <c r="L22" s="398"/>
      <c r="M22" s="398"/>
      <c r="N22" s="398"/>
      <c r="O22" s="398"/>
      <c r="P22" s="270" t="s">
        <v>235</v>
      </c>
      <c r="Q22" s="181" t="s">
        <v>633</v>
      </c>
      <c r="R22" s="398"/>
    </row>
    <row r="23" spans="1:18" s="21" customFormat="1">
      <c r="A23" s="398"/>
      <c r="B23" s="864" t="str">
        <f>H6</f>
        <v>Improved Customer Service</v>
      </c>
      <c r="C23" s="864"/>
      <c r="D23" s="697">
        <f>SUMPRODUCT(H$7:H$15,$D$7:$D$15)</f>
        <v>0</v>
      </c>
      <c r="E23" s="866">
        <f>SUMPRODUCT(H$7:H$15,$E$7:$E$15,$D$7:$D$15)</f>
        <v>0</v>
      </c>
      <c r="F23" s="866"/>
      <c r="G23" s="866"/>
      <c r="H23" s="866">
        <f t="shared" si="6"/>
        <v>0</v>
      </c>
      <c r="I23" s="866"/>
      <c r="J23" s="866"/>
      <c r="K23" s="398"/>
      <c r="L23" s="398"/>
      <c r="M23" s="398"/>
      <c r="N23" s="398"/>
      <c r="O23" s="398"/>
      <c r="P23" s="270" t="s">
        <v>238</v>
      </c>
      <c r="Q23" s="398"/>
      <c r="R23" s="398"/>
    </row>
    <row r="24" spans="1:18" s="21" customFormat="1" ht="25.5" customHeight="1">
      <c r="A24" s="398"/>
      <c r="B24" s="864" t="str">
        <f>I6</f>
        <v>New/Expanded Channels/Geographies</v>
      </c>
      <c r="C24" s="864"/>
      <c r="D24" s="697">
        <f>SUMPRODUCT(I$7:I$15,$D$7:$D$15)</f>
        <v>0</v>
      </c>
      <c r="E24" s="866">
        <f>SUMPRODUCT(I$7:I$15,$E$7:$E$15,$D$7:$D$15)</f>
        <v>0</v>
      </c>
      <c r="F24" s="866"/>
      <c r="G24" s="866"/>
      <c r="H24" s="866">
        <f t="shared" si="6"/>
        <v>0</v>
      </c>
      <c r="I24" s="866"/>
      <c r="J24" s="866"/>
      <c r="K24" s="398"/>
      <c r="L24" s="398"/>
      <c r="M24" s="398"/>
      <c r="N24" s="398"/>
      <c r="O24" s="398"/>
      <c r="P24" s="77" t="s">
        <v>239</v>
      </c>
      <c r="Q24" s="398"/>
      <c r="R24" s="398"/>
    </row>
    <row r="25" spans="1:18" s="21" customFormat="1">
      <c r="A25" s="398"/>
      <c r="B25" s="864" t="str">
        <f>J6</f>
        <v>New/Enhanced Products/Services</v>
      </c>
      <c r="C25" s="864"/>
      <c r="D25" s="697">
        <f>SUMPRODUCT(J$7:J$15,$D$7:$D$15)</f>
        <v>0</v>
      </c>
      <c r="E25" s="866">
        <f>SUMPRODUCT(J$7:J$15,$E$7:$E$15,$D$7:$D$15)</f>
        <v>0</v>
      </c>
      <c r="F25" s="866"/>
      <c r="G25" s="866"/>
      <c r="H25" s="866">
        <f t="shared" si="6"/>
        <v>0</v>
      </c>
      <c r="I25" s="866"/>
      <c r="J25" s="866"/>
      <c r="K25" s="398"/>
      <c r="L25" s="398"/>
      <c r="M25" s="398"/>
      <c r="N25" s="398"/>
      <c r="O25" s="398"/>
      <c r="P25" s="398"/>
      <c r="Q25" s="398"/>
      <c r="R25" s="398"/>
    </row>
    <row r="26" spans="1:18" s="21" customFormat="1" ht="25.5" customHeight="1">
      <c r="A26" s="398"/>
      <c r="B26" s="864" t="str">
        <f>K6</f>
        <v>Improved Product Availability (fill rate, up-time)</v>
      </c>
      <c r="C26" s="864"/>
      <c r="D26" s="697">
        <f>SUMPRODUCT(K$7:K$15,$D$7:$D$15)</f>
        <v>446.70071346166105</v>
      </c>
      <c r="E26" s="866">
        <f>SUMPRODUCT(K$7:K$15,$E$7:$E$15,$D$7:$D$15)</f>
        <v>76.074403072168607</v>
      </c>
      <c r="F26" s="866"/>
      <c r="G26" s="866"/>
      <c r="H26" s="866">
        <f t="shared" si="6"/>
        <v>27.641377545136631</v>
      </c>
      <c r="I26" s="866"/>
      <c r="J26" s="866"/>
      <c r="K26" s="398"/>
      <c r="L26" s="398"/>
      <c r="M26" s="398"/>
      <c r="N26" s="398"/>
      <c r="O26" s="398"/>
      <c r="P26" s="398"/>
      <c r="Q26" s="398"/>
      <c r="R26" s="398"/>
    </row>
    <row r="27" spans="1:18" ht="13.5" thickBot="1">
      <c r="A27" s="398"/>
      <c r="B27" s="867" t="str">
        <f>L6</f>
        <v>Other</v>
      </c>
      <c r="C27" s="864"/>
      <c r="D27" s="697">
        <f>SUMPRODUCT(L$7:L$15,$D$7:$D$15)</f>
        <v>0</v>
      </c>
      <c r="E27" s="866">
        <f>SUMPRODUCT(L$7:L$15,$E$7:$E$15,$D$7:$D$15)</f>
        <v>0</v>
      </c>
      <c r="F27" s="866"/>
      <c r="G27" s="866"/>
      <c r="H27" s="866">
        <f t="shared" si="6"/>
        <v>0</v>
      </c>
      <c r="I27" s="866"/>
      <c r="J27" s="866"/>
      <c r="K27" s="398"/>
      <c r="L27" s="398"/>
      <c r="M27" s="398"/>
      <c r="N27" s="398"/>
      <c r="O27" s="398"/>
      <c r="P27" s="398"/>
      <c r="Q27" s="398"/>
      <c r="R27" s="398"/>
    </row>
    <row r="28" spans="1:18" s="21" customFormat="1" ht="14.25" thickTop="1" thickBot="1">
      <c r="A28" s="398"/>
      <c r="B28" s="867" t="s">
        <v>634</v>
      </c>
      <c r="C28" s="868"/>
      <c r="D28" s="698">
        <f>SUM(D21:D27)</f>
        <v>446.70071346166105</v>
      </c>
      <c r="E28" s="869">
        <f>SUM(E21:E27)</f>
        <v>76.074403072168607</v>
      </c>
      <c r="F28" s="869"/>
      <c r="G28" s="869"/>
      <c r="H28" s="869">
        <f>SUM(H21:H27)</f>
        <v>27.641377545136631</v>
      </c>
      <c r="I28" s="869"/>
      <c r="J28" s="869"/>
      <c r="K28" s="398"/>
      <c r="L28" s="398"/>
      <c r="M28" s="398"/>
      <c r="N28" s="398"/>
      <c r="O28" s="398"/>
      <c r="P28" s="398"/>
      <c r="Q28" s="398"/>
      <c r="R28" s="398"/>
    </row>
    <row r="29" spans="1:18" s="21" customFormat="1" ht="13.5" thickTop="1">
      <c r="A29" s="398"/>
      <c r="B29" s="864" t="s">
        <v>494</v>
      </c>
      <c r="C29" s="868"/>
      <c r="D29" s="698">
        <f>D28*ProjectTtlMultBen</f>
        <v>2233.5035673083053</v>
      </c>
      <c r="E29" s="869">
        <f>E28*ProjectTtlMultBen</f>
        <v>380.37201536084302</v>
      </c>
      <c r="F29" s="869"/>
      <c r="G29" s="869"/>
      <c r="H29" s="869">
        <f>H28*ProjectTtlMultBen</f>
        <v>138.20688772568315</v>
      </c>
      <c r="I29" s="869"/>
      <c r="J29" s="869"/>
      <c r="K29" s="398"/>
      <c r="L29" s="398"/>
      <c r="M29" s="398"/>
      <c r="N29" s="398"/>
      <c r="O29" s="398"/>
      <c r="P29" s="398"/>
      <c r="Q29" s="398"/>
      <c r="R29" s="398"/>
    </row>
    <row r="30" spans="1:18">
      <c r="A30" s="398"/>
      <c r="B30" s="398"/>
      <c r="C30" s="398"/>
      <c r="D30" s="398"/>
      <c r="E30" s="398"/>
      <c r="F30" s="398"/>
      <c r="G30" s="398"/>
      <c r="H30" s="398"/>
      <c r="I30" s="398"/>
      <c r="J30" s="398"/>
      <c r="K30" s="398"/>
      <c r="L30" s="398"/>
      <c r="M30" s="398"/>
      <c r="N30" s="398"/>
      <c r="O30" s="398"/>
      <c r="P30" s="398"/>
      <c r="Q30" s="398"/>
      <c r="R30" s="398"/>
    </row>
    <row r="31" spans="1:18">
      <c r="A31" s="398"/>
      <c r="B31" s="398"/>
      <c r="C31" s="398"/>
      <c r="D31" s="398"/>
      <c r="E31" s="398"/>
      <c r="F31" s="398"/>
      <c r="G31" s="398"/>
      <c r="H31" s="398"/>
      <c r="I31" s="398"/>
      <c r="J31" s="398"/>
      <c r="K31" s="398"/>
      <c r="L31" s="398"/>
      <c r="M31" s="398"/>
      <c r="N31" s="398"/>
      <c r="O31" s="398"/>
      <c r="P31" s="398"/>
      <c r="Q31" s="398"/>
      <c r="R31" s="398"/>
    </row>
    <row r="32" spans="1:18">
      <c r="A32" s="398"/>
      <c r="B32" s="398"/>
      <c r="C32" s="398"/>
      <c r="D32" s="398"/>
      <c r="E32" s="398"/>
      <c r="F32" s="398"/>
      <c r="G32" s="398"/>
      <c r="H32" s="398"/>
      <c r="I32" s="398"/>
      <c r="J32" s="398"/>
      <c r="K32" s="398"/>
      <c r="L32" s="398"/>
      <c r="M32" s="398"/>
      <c r="N32" s="398"/>
      <c r="O32" s="398"/>
      <c r="P32" s="398"/>
      <c r="Q32" s="398"/>
      <c r="R32" s="398"/>
    </row>
    <row r="33" spans="1:18">
      <c r="A33" s="398"/>
      <c r="B33" s="398"/>
      <c r="C33" s="398"/>
      <c r="D33" s="398"/>
      <c r="E33" s="398"/>
      <c r="F33" s="398"/>
      <c r="G33" s="398"/>
      <c r="H33" s="398"/>
      <c r="I33" s="398"/>
      <c r="J33" s="398"/>
      <c r="K33" s="398"/>
      <c r="L33" s="398"/>
      <c r="M33" s="398"/>
      <c r="N33" s="398"/>
      <c r="O33" s="398"/>
      <c r="P33" s="398"/>
      <c r="Q33" s="398"/>
      <c r="R33" s="398"/>
    </row>
    <row r="34" spans="1:18">
      <c r="A34" s="398"/>
      <c r="B34" s="398"/>
      <c r="C34" s="398"/>
      <c r="D34" s="398"/>
      <c r="E34" s="398"/>
      <c r="F34" s="398"/>
      <c r="G34" s="398"/>
      <c r="H34" s="398"/>
      <c r="I34" s="398"/>
      <c r="J34" s="398"/>
      <c r="K34" s="398"/>
      <c r="L34" s="398"/>
      <c r="M34" s="398"/>
      <c r="N34" s="398"/>
      <c r="O34" s="398"/>
      <c r="P34" s="398"/>
      <c r="Q34" s="398"/>
      <c r="R34" s="398"/>
    </row>
    <row r="35" spans="1:18" s="21" customFormat="1">
      <c r="A35" s="398"/>
      <c r="B35" s="398"/>
      <c r="C35" s="398"/>
      <c r="D35" s="398"/>
      <c r="E35" s="398"/>
      <c r="F35" s="398"/>
      <c r="G35" s="398"/>
      <c r="H35" s="398"/>
      <c r="I35" s="398"/>
      <c r="J35" s="398"/>
      <c r="K35" s="398"/>
      <c r="L35" s="398"/>
      <c r="M35" s="398"/>
      <c r="N35" s="398"/>
      <c r="O35" s="398"/>
      <c r="P35" s="398"/>
      <c r="Q35" s="398"/>
      <c r="R35" s="398"/>
    </row>
    <row r="36" spans="1:18">
      <c r="A36" s="398"/>
      <c r="B36" s="398"/>
      <c r="C36" s="398"/>
      <c r="D36" s="398"/>
      <c r="E36" s="398"/>
      <c r="F36" s="398"/>
      <c r="G36" s="398"/>
      <c r="H36" s="398"/>
      <c r="I36" s="398"/>
      <c r="J36" s="398"/>
      <c r="K36" s="398"/>
      <c r="L36" s="398"/>
      <c r="M36" s="398"/>
      <c r="N36" s="398"/>
      <c r="O36" s="398"/>
      <c r="P36" s="398"/>
      <c r="Q36" s="398"/>
      <c r="R36" s="398"/>
    </row>
    <row r="37" spans="1:18">
      <c r="A37" s="398"/>
      <c r="B37" s="398"/>
      <c r="C37" s="398"/>
      <c r="D37" s="398"/>
      <c r="E37" s="398"/>
      <c r="F37" s="398"/>
      <c r="G37" s="398"/>
      <c r="H37" s="398"/>
      <c r="I37" s="398"/>
      <c r="J37" s="398"/>
      <c r="K37" s="398"/>
      <c r="L37" s="398"/>
      <c r="M37" s="398"/>
      <c r="N37" s="398"/>
      <c r="O37" s="398"/>
      <c r="P37" s="398"/>
      <c r="Q37" s="398"/>
      <c r="R37" s="398"/>
    </row>
    <row r="38" spans="1:18">
      <c r="A38" s="398"/>
      <c r="B38" s="398"/>
      <c r="C38" s="398"/>
      <c r="D38" s="398"/>
      <c r="E38" s="398"/>
      <c r="F38" s="398"/>
      <c r="G38" s="398"/>
      <c r="H38" s="398"/>
      <c r="I38" s="398"/>
      <c r="J38" s="398"/>
      <c r="K38" s="398"/>
      <c r="L38" s="398"/>
      <c r="M38" s="398"/>
      <c r="N38" s="398"/>
      <c r="O38" s="398"/>
      <c r="P38" s="398"/>
      <c r="Q38" s="398"/>
      <c r="R38" s="398"/>
    </row>
    <row r="39" spans="1:18">
      <c r="A39" s="398"/>
      <c r="B39" s="398"/>
      <c r="C39" s="398"/>
      <c r="D39" s="398"/>
      <c r="E39" s="398"/>
      <c r="F39" s="398"/>
      <c r="G39" s="398"/>
      <c r="H39" s="398"/>
      <c r="I39" s="398"/>
      <c r="J39" s="398"/>
      <c r="K39" s="398"/>
      <c r="L39" s="398"/>
      <c r="M39" s="398"/>
      <c r="N39" s="398"/>
      <c r="O39" s="398"/>
      <c r="P39" s="398"/>
      <c r="Q39" s="398"/>
      <c r="R39" s="398"/>
    </row>
    <row r="40" spans="1:18">
      <c r="A40" s="398"/>
      <c r="B40" s="750" t="str">
        <f>CopyRight</f>
        <v>©AnalysisPlace.  www.analysisplace.com</v>
      </c>
      <c r="C40" s="750"/>
      <c r="D40" s="750"/>
      <c r="E40" s="750"/>
      <c r="F40" s="750"/>
      <c r="G40" s="750"/>
      <c r="H40" s="398"/>
      <c r="I40" s="398"/>
      <c r="J40" s="398"/>
      <c r="K40" s="398"/>
      <c r="L40" s="398"/>
      <c r="M40" s="398"/>
      <c r="N40" s="398"/>
      <c r="O40" s="398"/>
      <c r="P40" s="398"/>
      <c r="Q40" s="398"/>
      <c r="R40" s="398"/>
    </row>
    <row r="41" spans="1:18">
      <c r="A41" s="100" t="s">
        <v>164</v>
      </c>
      <c r="B41" s="398"/>
      <c r="C41" s="398"/>
      <c r="D41" s="398"/>
      <c r="E41" s="398"/>
      <c r="F41" s="398"/>
      <c r="G41" s="398"/>
      <c r="H41" s="398"/>
      <c r="I41" s="398"/>
      <c r="J41" s="398"/>
      <c r="K41" s="398"/>
      <c r="L41" s="398"/>
      <c r="M41" s="398"/>
      <c r="N41" s="398"/>
      <c r="O41" s="398"/>
      <c r="P41" s="398"/>
      <c r="Q41" s="398"/>
      <c r="R41" s="398"/>
    </row>
  </sheetData>
  <sheetProtection formatCells="0" selectLockedCells="1"/>
  <mergeCells count="33">
    <mergeCell ref="B3:N3"/>
    <mergeCell ref="B28:C28"/>
    <mergeCell ref="B29:C29"/>
    <mergeCell ref="B23:C23"/>
    <mergeCell ref="B24:C24"/>
    <mergeCell ref="B25:C25"/>
    <mergeCell ref="B26:C26"/>
    <mergeCell ref="B27:C27"/>
    <mergeCell ref="E26:G26"/>
    <mergeCell ref="E27:G27"/>
    <mergeCell ref="H28:J28"/>
    <mergeCell ref="H29:J29"/>
    <mergeCell ref="H23:J23"/>
    <mergeCell ref="H24:J24"/>
    <mergeCell ref="F5:L5"/>
    <mergeCell ref="C5:D5"/>
    <mergeCell ref="E20:G20"/>
    <mergeCell ref="E21:G21"/>
    <mergeCell ref="E22:G22"/>
    <mergeCell ref="H20:J20"/>
    <mergeCell ref="H21:J21"/>
    <mergeCell ref="H22:J22"/>
    <mergeCell ref="B21:C21"/>
    <mergeCell ref="B22:C22"/>
    <mergeCell ref="E23:G23"/>
    <mergeCell ref="H25:J25"/>
    <mergeCell ref="E25:G25"/>
    <mergeCell ref="E24:G24"/>
    <mergeCell ref="H27:J27"/>
    <mergeCell ref="B40:G40"/>
    <mergeCell ref="E28:G28"/>
    <mergeCell ref="E29:G29"/>
    <mergeCell ref="H26:J26"/>
  </mergeCells>
  <pageMargins left="0.7" right="0.7" top="0.75" bottom="0.75" header="0.3" footer="0.3"/>
  <pageSetup scale="56" fitToHeight="100" orientation="portrait" horizontalDpi="300" verticalDpi="300" r:id="rId1"/>
  <headerFooter>
    <oddHeader>&amp;CAnalysisPlace.com   IT Project ROI and Business Case Toolkit</oddHeader>
    <oddFooter>&amp;L&amp;A&amp;C&amp;F&amp;R&amp;P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92D050"/>
  </sheetPr>
  <dimension ref="A1:AU139"/>
  <sheetViews>
    <sheetView showGridLines="0" workbookViewId="0" xr3:uid="{44B22561-5205-5C8A-B808-2C70100D228F}"/>
  </sheetViews>
  <sheetFormatPr defaultColWidth="9.140625" defaultRowHeight="12.75"/>
  <cols>
    <col min="1" max="1" width="2.7109375" style="32" customWidth="1"/>
    <col min="2" max="2" width="24.85546875" style="32" customWidth="1"/>
    <col min="3" max="3" width="39.85546875" style="32" customWidth="1"/>
    <col min="4" max="4" width="9.28515625" style="32" customWidth="1"/>
    <col min="5" max="5" width="7.85546875" style="32" customWidth="1"/>
    <col min="6" max="6" width="7" style="32" customWidth="1"/>
    <col min="7" max="7" width="7.140625" style="32" customWidth="1"/>
    <col min="8" max="8" width="6.5703125" style="32" bestFit="1" customWidth="1"/>
    <col min="9" max="9" width="6.7109375" style="32" bestFit="1" customWidth="1"/>
    <col min="10" max="10" width="9" style="32" bestFit="1" customWidth="1"/>
    <col min="11" max="11" width="26.140625" style="32" customWidth="1"/>
    <col min="12" max="12" width="1.7109375" customWidth="1"/>
    <col min="13" max="15" width="9.140625" style="15" customWidth="1"/>
    <col min="16" max="16384" width="9.140625" style="15"/>
  </cols>
  <sheetData>
    <row r="1" spans="1:47" s="105" customFormat="1" ht="30" customHeight="1">
      <c r="A1" s="419"/>
      <c r="B1" s="420" t="s">
        <v>165</v>
      </c>
      <c r="C1" s="419"/>
      <c r="D1" s="419"/>
      <c r="E1" s="419"/>
      <c r="F1" s="419"/>
      <c r="G1" s="419"/>
      <c r="H1" s="419"/>
      <c r="I1" s="419"/>
      <c r="J1" s="419"/>
      <c r="K1" s="419"/>
      <c r="L1" s="419"/>
      <c r="M1" s="100" t="s">
        <v>0</v>
      </c>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8"/>
      <c r="AO1" s="398"/>
      <c r="AP1" s="398"/>
      <c r="AQ1" s="398"/>
      <c r="AR1" s="398"/>
      <c r="AS1" s="398"/>
      <c r="AT1" s="398"/>
      <c r="AU1" s="398"/>
    </row>
    <row r="2" spans="1:47" ht="27">
      <c r="A2" s="4" t="s">
        <v>635</v>
      </c>
      <c r="B2" s="398"/>
      <c r="C2" s="639"/>
      <c r="D2" s="639"/>
      <c r="E2" s="639"/>
      <c r="F2" s="639"/>
      <c r="G2" s="639"/>
      <c r="H2" s="639"/>
      <c r="I2" s="639"/>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398"/>
      <c r="AL2" s="398"/>
      <c r="AM2" s="398"/>
      <c r="AN2" s="398"/>
      <c r="AO2" s="398"/>
      <c r="AP2" s="398"/>
      <c r="AQ2" s="398"/>
      <c r="AR2" s="398"/>
      <c r="AS2" s="398"/>
      <c r="AT2" s="398"/>
      <c r="AU2" s="398"/>
    </row>
    <row r="3" spans="1:47" s="32" customFormat="1" ht="160.5" customHeight="1">
      <c r="A3" s="398"/>
      <c r="B3" s="764" t="s">
        <v>636</v>
      </c>
      <c r="C3" s="764"/>
      <c r="D3" s="764"/>
      <c r="E3" s="764"/>
      <c r="F3" s="764"/>
      <c r="G3" s="764"/>
      <c r="H3" s="764"/>
      <c r="I3" s="764"/>
      <c r="J3" s="764"/>
      <c r="K3" s="764"/>
      <c r="L3" s="398"/>
      <c r="M3" s="64"/>
      <c r="N3" s="398"/>
      <c r="O3" s="398"/>
      <c r="P3" s="398"/>
      <c r="Q3" s="398"/>
      <c r="R3" s="398"/>
      <c r="S3" s="398"/>
      <c r="T3" s="398"/>
      <c r="U3" s="398"/>
      <c r="V3" s="398"/>
      <c r="W3" s="398"/>
      <c r="X3" s="398"/>
      <c r="Y3" s="398"/>
      <c r="Z3" s="398"/>
      <c r="AA3" s="398"/>
      <c r="AB3" s="398"/>
      <c r="AC3" s="398"/>
      <c r="AD3" s="398"/>
      <c r="AE3" s="398"/>
      <c r="AF3" s="398"/>
      <c r="AG3" s="398"/>
      <c r="AH3" s="398"/>
      <c r="AI3" s="398"/>
      <c r="AJ3" s="398"/>
      <c r="AK3" s="398"/>
      <c r="AL3" s="398"/>
      <c r="AM3" s="398"/>
      <c r="AN3" s="398"/>
      <c r="AO3" s="398"/>
      <c r="AP3" s="398"/>
      <c r="AQ3" s="398"/>
      <c r="AR3" s="398"/>
      <c r="AS3" s="398"/>
      <c r="AT3" s="398"/>
      <c r="AU3" s="398"/>
    </row>
    <row r="4" spans="1:47" ht="12.75" customHeight="1">
      <c r="A4" s="398"/>
      <c r="B4" s="398"/>
      <c r="C4" s="398"/>
      <c r="D4" s="835" t="s">
        <v>637</v>
      </c>
      <c r="E4" s="789"/>
      <c r="F4" s="841" t="s">
        <v>638</v>
      </c>
      <c r="G4" s="783"/>
      <c r="H4" s="841"/>
      <c r="I4" s="835"/>
      <c r="J4" s="835"/>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c r="AK4" s="398"/>
      <c r="AL4" s="398"/>
      <c r="AM4" s="398"/>
      <c r="AN4" s="398"/>
      <c r="AO4" s="398"/>
      <c r="AP4" s="398"/>
      <c r="AQ4" s="398"/>
      <c r="AR4" s="398"/>
      <c r="AS4" s="398"/>
      <c r="AT4" s="398"/>
      <c r="AU4" s="398"/>
    </row>
    <row r="5" spans="1:47" ht="12.75" customHeight="1">
      <c r="A5" s="398"/>
      <c r="B5" s="398"/>
      <c r="C5" s="172"/>
      <c r="D5" s="870"/>
      <c r="E5" s="860"/>
      <c r="F5" s="841" t="s">
        <v>639</v>
      </c>
      <c r="G5" s="855"/>
      <c r="H5" s="835" t="s">
        <v>640</v>
      </c>
      <c r="I5" s="783"/>
      <c r="J5" s="841"/>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398"/>
      <c r="AJ5" s="398"/>
      <c r="AK5" s="398"/>
      <c r="AL5" s="398"/>
      <c r="AM5" s="398"/>
      <c r="AN5" s="398"/>
      <c r="AO5" s="398"/>
      <c r="AP5" s="398"/>
      <c r="AQ5" s="398"/>
      <c r="AR5" s="398"/>
      <c r="AS5" s="398"/>
      <c r="AT5" s="398"/>
      <c r="AU5" s="398"/>
    </row>
    <row r="6" spans="1:47" ht="26.25" customHeight="1">
      <c r="A6" s="398"/>
      <c r="B6" s="680" t="s">
        <v>641</v>
      </c>
      <c r="C6" s="680" t="s">
        <v>642</v>
      </c>
      <c r="D6" s="680" t="s">
        <v>643</v>
      </c>
      <c r="E6" s="680" t="s">
        <v>644</v>
      </c>
      <c r="F6" s="680" t="s">
        <v>340</v>
      </c>
      <c r="G6" s="671" t="s">
        <v>341</v>
      </c>
      <c r="H6" s="692" t="str">
        <f>F6</f>
        <v>As-Is</v>
      </c>
      <c r="I6" s="680" t="str">
        <f>G6</f>
        <v>To-Be</v>
      </c>
      <c r="J6" s="680" t="s">
        <v>645</v>
      </c>
      <c r="K6" s="671" t="s">
        <v>246</v>
      </c>
      <c r="L6" s="398"/>
      <c r="M6" s="174" t="s">
        <v>646</v>
      </c>
      <c r="N6" s="174" t="s">
        <v>647</v>
      </c>
      <c r="O6" s="174" t="s">
        <v>648</v>
      </c>
      <c r="P6" s="398"/>
      <c r="Q6" s="398"/>
      <c r="R6" s="398"/>
      <c r="S6" s="398"/>
      <c r="T6" s="398"/>
      <c r="U6" s="398"/>
      <c r="V6" s="398"/>
      <c r="W6" s="398"/>
      <c r="X6" s="398"/>
      <c r="Y6" s="398"/>
      <c r="Z6" s="398"/>
      <c r="AA6" s="398"/>
      <c r="AB6" s="398"/>
      <c r="AC6" s="398"/>
      <c r="AD6" s="398"/>
      <c r="AE6" s="398"/>
      <c r="AF6" s="398"/>
      <c r="AG6" s="398"/>
      <c r="AH6" s="398"/>
      <c r="AI6" s="398"/>
      <c r="AJ6" s="398"/>
      <c r="AK6" s="398"/>
      <c r="AL6" s="398"/>
      <c r="AM6" s="398"/>
      <c r="AN6" s="398"/>
      <c r="AO6" s="398"/>
      <c r="AP6" s="398"/>
      <c r="AQ6" s="398"/>
      <c r="AR6" s="398"/>
      <c r="AS6" s="398"/>
      <c r="AT6" s="398"/>
      <c r="AU6" s="398"/>
    </row>
    <row r="7" spans="1:47" ht="15.75" thickBot="1">
      <c r="A7" s="6" t="s">
        <v>649</v>
      </c>
      <c r="B7" s="175"/>
      <c r="C7" s="176"/>
      <c r="D7" s="270"/>
      <c r="E7" s="270"/>
      <c r="F7" s="270"/>
      <c r="G7" s="270"/>
      <c r="H7" s="270"/>
      <c r="I7" s="270"/>
      <c r="J7" s="270"/>
      <c r="K7" s="270"/>
      <c r="L7" s="398"/>
      <c r="M7" s="270"/>
      <c r="N7" s="270"/>
      <c r="O7" s="270"/>
      <c r="P7" s="398"/>
      <c r="Q7" s="398"/>
      <c r="R7" s="398"/>
      <c r="S7" s="398"/>
      <c r="T7" s="398"/>
      <c r="U7" s="398"/>
      <c r="V7" s="398"/>
      <c r="W7" s="398"/>
      <c r="X7" s="398"/>
      <c r="Y7" s="398"/>
      <c r="Z7" s="398"/>
      <c r="AA7" s="398"/>
      <c r="AB7" s="398"/>
      <c r="AC7" s="398"/>
      <c r="AD7" s="398"/>
      <c r="AE7" s="398"/>
      <c r="AF7" s="398"/>
      <c r="AG7" s="398"/>
      <c r="AH7" s="398"/>
      <c r="AI7" s="398"/>
      <c r="AJ7" s="398"/>
      <c r="AK7" s="398"/>
      <c r="AL7" s="398"/>
      <c r="AM7" s="398"/>
      <c r="AN7" s="398"/>
      <c r="AO7" s="398"/>
      <c r="AP7" s="398"/>
      <c r="AQ7" s="398"/>
      <c r="AR7" s="398"/>
      <c r="AS7" s="398"/>
      <c r="AT7" s="398"/>
      <c r="AU7" s="398"/>
    </row>
    <row r="8" spans="1:47" s="17" customFormat="1">
      <c r="A8" s="398"/>
      <c r="B8" s="188" t="s">
        <v>650</v>
      </c>
      <c r="C8" s="704" t="s">
        <v>651</v>
      </c>
      <c r="D8" s="673">
        <v>0.15</v>
      </c>
      <c r="E8" s="496">
        <v>0.19</v>
      </c>
      <c r="F8" s="496">
        <f>Refrc!$F$267</f>
        <v>0.3</v>
      </c>
      <c r="G8" s="475">
        <f>F8+(1-F8)*N8*O8</f>
        <v>0.3</v>
      </c>
      <c r="H8" s="190">
        <f>(($E8-$D8)/($D$106-$D$105))*($F8-$D$105)+$D8</f>
        <v>0.16</v>
      </c>
      <c r="I8" s="189">
        <f>(($E8-$D8)/($D$106-$D$105))*($G8-$D$105)+$D8</f>
        <v>0.16</v>
      </c>
      <c r="J8" s="128">
        <f>(I8-H8)/H8*M8</f>
        <v>0</v>
      </c>
      <c r="K8" s="684"/>
      <c r="L8" s="398"/>
      <c r="M8" s="177">
        <f>IF(D8&gt;E8,-1,1)</f>
        <v>1</v>
      </c>
      <c r="N8" s="178">
        <v>0.3</v>
      </c>
      <c r="O8" s="178">
        <f>Test!$E$122</f>
        <v>0</v>
      </c>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8"/>
      <c r="AO8" s="398"/>
      <c r="AP8" s="398"/>
      <c r="AQ8" s="398"/>
      <c r="AR8" s="398"/>
      <c r="AS8" s="398"/>
      <c r="AT8" s="398"/>
      <c r="AU8" s="398"/>
    </row>
    <row r="9" spans="1:47" s="17" customFormat="1">
      <c r="A9" s="398"/>
      <c r="B9" s="36" t="s">
        <v>652</v>
      </c>
      <c r="C9" s="309" t="s">
        <v>653</v>
      </c>
      <c r="D9" s="674">
        <v>0.12</v>
      </c>
      <c r="E9" s="498">
        <v>0.1</v>
      </c>
      <c r="F9" s="498">
        <f>Refrc!$F$267</f>
        <v>0.3</v>
      </c>
      <c r="G9" s="477">
        <f>F9+(1-F9)*N9*O9</f>
        <v>0.3</v>
      </c>
      <c r="H9" s="173">
        <f>(($E9-$D9)/($D$106-$D$105))*($F9-$D$105)+$D9</f>
        <v>0.11499999999999999</v>
      </c>
      <c r="I9" s="133">
        <f>(($E9-$D9)/($D$106-$D$105))*($G9-$D$105)+$D9</f>
        <v>0.11499999999999999</v>
      </c>
      <c r="J9" s="169">
        <f>(I9-H9)/H9*M9</f>
        <v>0</v>
      </c>
      <c r="K9" s="684"/>
      <c r="L9" s="398"/>
      <c r="M9" s="177">
        <f>IF(D9&gt;E9,-1,1)</f>
        <v>-1</v>
      </c>
      <c r="N9" s="178">
        <v>0.25</v>
      </c>
      <c r="O9" s="178">
        <f>Test!$E$122</f>
        <v>0</v>
      </c>
      <c r="P9" s="398"/>
      <c r="Q9" s="398"/>
      <c r="R9" s="398"/>
      <c r="S9" s="398"/>
      <c r="T9" s="398"/>
      <c r="U9" s="398"/>
      <c r="V9" s="398"/>
      <c r="W9" s="398"/>
      <c r="X9" s="398"/>
      <c r="Y9" s="398"/>
      <c r="Z9" s="398"/>
      <c r="AA9" s="398"/>
      <c r="AB9" s="398"/>
      <c r="AC9" s="398"/>
      <c r="AD9" s="398"/>
      <c r="AE9" s="398"/>
      <c r="AF9" s="398"/>
      <c r="AG9" s="398"/>
      <c r="AH9" s="398"/>
      <c r="AI9" s="398"/>
      <c r="AJ9" s="398"/>
      <c r="AK9" s="398"/>
      <c r="AL9" s="398"/>
      <c r="AM9" s="398"/>
      <c r="AN9" s="398"/>
      <c r="AO9" s="398"/>
      <c r="AP9" s="398"/>
      <c r="AQ9" s="398"/>
      <c r="AR9" s="398"/>
      <c r="AS9" s="398"/>
      <c r="AT9" s="398"/>
      <c r="AU9" s="398"/>
    </row>
    <row r="10" spans="1:47" s="21" customFormat="1" ht="25.5">
      <c r="A10" s="398"/>
      <c r="B10" s="310" t="s">
        <v>654</v>
      </c>
      <c r="C10" s="311" t="s">
        <v>655</v>
      </c>
      <c r="D10" s="674">
        <v>0.3</v>
      </c>
      <c r="E10" s="498">
        <v>0.95</v>
      </c>
      <c r="F10" s="498">
        <f>Refrc!$F$267</f>
        <v>0.3</v>
      </c>
      <c r="G10" s="477">
        <f>F10+(1-F10)*N10*O10</f>
        <v>0.3</v>
      </c>
      <c r="H10" s="126">
        <f>(($E10-$D10)/($D$106-$D$105))*($F10-$D$105)+$D10</f>
        <v>0.46249999999999997</v>
      </c>
      <c r="I10" s="171">
        <f>(($E10-$D10)/($D$106-$D$105))*($G10-$D$105)+$D10</f>
        <v>0.46249999999999997</v>
      </c>
      <c r="J10" s="128">
        <f>(I10-H10)/H10*M10</f>
        <v>0</v>
      </c>
      <c r="K10" s="684"/>
      <c r="L10" s="398"/>
      <c r="M10" s="177">
        <f>IF(D10&gt;E10,-1,1)</f>
        <v>1</v>
      </c>
      <c r="N10" s="178">
        <v>0.3</v>
      </c>
      <c r="O10" s="178">
        <f>Test!$E$122</f>
        <v>0</v>
      </c>
      <c r="P10" s="398"/>
      <c r="Q10" s="398"/>
      <c r="R10" s="398"/>
      <c r="S10" s="398"/>
      <c r="T10" s="398"/>
      <c r="U10" s="398"/>
      <c r="V10" s="398"/>
      <c r="W10" s="398"/>
      <c r="X10" s="398"/>
      <c r="Y10" s="398"/>
      <c r="Z10" s="398"/>
      <c r="AA10" s="398"/>
      <c r="AB10" s="398"/>
      <c r="AC10" s="398"/>
      <c r="AD10" s="398"/>
      <c r="AE10" s="398"/>
      <c r="AF10" s="398"/>
      <c r="AG10" s="398"/>
      <c r="AH10" s="398"/>
      <c r="AI10" s="398"/>
      <c r="AJ10" s="398"/>
      <c r="AK10" s="398"/>
      <c r="AL10" s="398"/>
      <c r="AM10" s="398"/>
      <c r="AN10" s="398"/>
      <c r="AO10" s="398"/>
      <c r="AP10" s="398"/>
      <c r="AQ10" s="398"/>
      <c r="AR10" s="398"/>
      <c r="AS10" s="398"/>
      <c r="AT10" s="398"/>
      <c r="AU10" s="398"/>
    </row>
    <row r="11" spans="1:47" s="17" customFormat="1" ht="26.25" thickBot="1">
      <c r="A11" s="398"/>
      <c r="B11" s="130" t="s">
        <v>656</v>
      </c>
      <c r="C11" s="704" t="s">
        <v>657</v>
      </c>
      <c r="D11" s="522">
        <v>10</v>
      </c>
      <c r="E11" s="523">
        <v>5</v>
      </c>
      <c r="F11" s="500">
        <f>Refrc!$F$267</f>
        <v>0.3</v>
      </c>
      <c r="G11" s="478">
        <f>F11+(1-F11)*N11*O11</f>
        <v>0.3</v>
      </c>
      <c r="H11" s="127">
        <f>(($E11-$D11)/($D$106-$D$105))*($F11-$D$105)+$D11</f>
        <v>8.75</v>
      </c>
      <c r="I11" s="104">
        <f>(($E11-$D11)/($D$106-$D$105))*($G11-$D$105)+$D11</f>
        <v>8.75</v>
      </c>
      <c r="J11" s="128">
        <f>(I11-H11)/H11*M11</f>
        <v>0</v>
      </c>
      <c r="K11" s="685"/>
      <c r="L11" s="398"/>
      <c r="M11" s="177">
        <f>IF(D11&gt;E11,-1,1)</f>
        <v>-1</v>
      </c>
      <c r="N11" s="178">
        <v>0.75</v>
      </c>
      <c r="O11" s="178">
        <f>Test!$E$122</f>
        <v>0</v>
      </c>
      <c r="P11" s="398"/>
      <c r="Q11" s="398"/>
      <c r="R11" s="398"/>
      <c r="S11" s="398"/>
      <c r="T11" s="398"/>
      <c r="U11" s="398"/>
      <c r="V11" s="398"/>
      <c r="W11" s="398"/>
      <c r="X11" s="398"/>
      <c r="Y11" s="398"/>
      <c r="Z11" s="398"/>
      <c r="AA11" s="398"/>
      <c r="AB11" s="398"/>
      <c r="AC11" s="398"/>
      <c r="AD11" s="398"/>
      <c r="AE11" s="398"/>
      <c r="AF11" s="398"/>
      <c r="AG11" s="398"/>
      <c r="AH11" s="398"/>
      <c r="AI11" s="398"/>
      <c r="AJ11" s="398"/>
      <c r="AK11" s="398"/>
      <c r="AL11" s="398"/>
      <c r="AM11" s="398"/>
      <c r="AN11" s="398"/>
      <c r="AO11" s="398"/>
      <c r="AP11" s="398"/>
      <c r="AQ11" s="398"/>
      <c r="AR11" s="398"/>
      <c r="AS11" s="398"/>
      <c r="AT11" s="398"/>
      <c r="AU11" s="398"/>
    </row>
    <row r="12" spans="1:47" s="21" customFormat="1" ht="15.75" thickBot="1">
      <c r="A12" s="6" t="s">
        <v>658</v>
      </c>
      <c r="B12" s="175"/>
      <c r="C12" s="176"/>
      <c r="D12" s="270"/>
      <c r="E12" s="270"/>
      <c r="F12" s="270"/>
      <c r="G12" s="270"/>
      <c r="H12" s="270"/>
      <c r="I12" s="270"/>
      <c r="J12" s="270"/>
      <c r="K12" s="270"/>
      <c r="L12" s="398"/>
      <c r="M12" s="270"/>
      <c r="N12" s="398"/>
      <c r="O12" s="398"/>
      <c r="P12" s="398"/>
      <c r="Q12" s="398"/>
      <c r="R12" s="398"/>
      <c r="S12" s="398"/>
      <c r="T12" s="398"/>
      <c r="U12" s="398"/>
      <c r="V12" s="398"/>
      <c r="W12" s="398"/>
      <c r="X12" s="398"/>
      <c r="Y12" s="398"/>
      <c r="Z12" s="398"/>
      <c r="AA12" s="398"/>
      <c r="AB12" s="398"/>
      <c r="AC12" s="398"/>
      <c r="AD12" s="398"/>
      <c r="AE12" s="398"/>
      <c r="AF12" s="398"/>
      <c r="AG12" s="398"/>
      <c r="AH12" s="398"/>
      <c r="AI12" s="398"/>
      <c r="AJ12" s="398"/>
      <c r="AK12" s="398"/>
      <c r="AL12" s="398"/>
      <c r="AM12" s="398"/>
      <c r="AN12" s="398"/>
      <c r="AO12" s="398"/>
      <c r="AP12" s="398"/>
      <c r="AQ12" s="398"/>
      <c r="AR12" s="398"/>
      <c r="AS12" s="398"/>
      <c r="AT12" s="398"/>
      <c r="AU12" s="398"/>
    </row>
    <row r="13" spans="1:47" ht="38.25">
      <c r="A13" s="398"/>
      <c r="B13" s="188" t="s">
        <v>659</v>
      </c>
      <c r="C13" s="311" t="s">
        <v>660</v>
      </c>
      <c r="D13" s="524">
        <v>10</v>
      </c>
      <c r="E13" s="525">
        <v>5</v>
      </c>
      <c r="F13" s="496">
        <f>Refrc!$F$268</f>
        <v>0.3</v>
      </c>
      <c r="G13" s="475">
        <f t="shared" ref="G13:G19" si="0">F13+(1-F13)*N13*O13</f>
        <v>0.3</v>
      </c>
      <c r="H13" s="127">
        <f t="shared" ref="H13:H19" si="1">(($E13-$D13)/($D$106-$D$105))*($F13-$D$105)+$D13</f>
        <v>8.75</v>
      </c>
      <c r="I13" s="104">
        <f t="shared" ref="I13:I19" si="2">(($E13-$D13)/($D$106-$D$105))*($G13-$D$105)+$D13</f>
        <v>8.75</v>
      </c>
      <c r="J13" s="128">
        <f t="shared" ref="J13:J18" si="3">(I13-H13)/H13*M13</f>
        <v>0</v>
      </c>
      <c r="K13" s="684"/>
      <c r="L13" s="398"/>
      <c r="M13" s="177">
        <f t="shared" ref="M13:M19" si="4">IF(D13&gt;E13,-1,1)</f>
        <v>-1</v>
      </c>
      <c r="N13" s="178">
        <v>0.3</v>
      </c>
      <c r="O13" s="178">
        <f>Test!$E$123</f>
        <v>0</v>
      </c>
      <c r="P13" s="398"/>
      <c r="Q13" s="398"/>
      <c r="R13" s="398"/>
      <c r="S13" s="398"/>
      <c r="T13" s="398"/>
      <c r="U13" s="398"/>
      <c r="V13" s="398"/>
      <c r="W13" s="398"/>
      <c r="X13" s="398"/>
      <c r="Y13" s="398"/>
      <c r="Z13" s="398"/>
      <c r="AA13" s="398"/>
      <c r="AB13" s="398"/>
      <c r="AC13" s="398"/>
      <c r="AD13" s="398"/>
      <c r="AE13" s="398"/>
      <c r="AF13" s="398"/>
      <c r="AG13" s="398"/>
      <c r="AH13" s="398"/>
      <c r="AI13" s="398"/>
      <c r="AJ13" s="398"/>
      <c r="AK13" s="398"/>
      <c r="AL13" s="398"/>
      <c r="AM13" s="398"/>
      <c r="AN13" s="398"/>
      <c r="AO13" s="398"/>
      <c r="AP13" s="398"/>
      <c r="AQ13" s="398"/>
      <c r="AR13" s="398"/>
      <c r="AS13" s="398"/>
      <c r="AT13" s="398"/>
      <c r="AU13" s="398"/>
    </row>
    <row r="14" spans="1:47" s="17" customFormat="1" ht="25.5">
      <c r="A14" s="398"/>
      <c r="B14" s="188" t="s">
        <v>661</v>
      </c>
      <c r="C14" s="311" t="s">
        <v>662</v>
      </c>
      <c r="D14" s="674">
        <v>0.15</v>
      </c>
      <c r="E14" s="498">
        <v>0.75</v>
      </c>
      <c r="F14" s="498">
        <f>Refrc!$F$268</f>
        <v>0.3</v>
      </c>
      <c r="G14" s="477">
        <f t="shared" si="0"/>
        <v>0.3</v>
      </c>
      <c r="H14" s="126">
        <f t="shared" si="1"/>
        <v>0.29999999999999993</v>
      </c>
      <c r="I14" s="171">
        <f t="shared" si="2"/>
        <v>0.29999999999999993</v>
      </c>
      <c r="J14" s="128">
        <f t="shared" si="3"/>
        <v>0</v>
      </c>
      <c r="K14" s="684"/>
      <c r="L14" s="398"/>
      <c r="M14" s="177">
        <f t="shared" si="4"/>
        <v>1</v>
      </c>
      <c r="N14" s="178">
        <v>0.5</v>
      </c>
      <c r="O14" s="178">
        <f>Test!$E$123</f>
        <v>0</v>
      </c>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8"/>
      <c r="AM14" s="398"/>
      <c r="AN14" s="398"/>
      <c r="AO14" s="398"/>
      <c r="AP14" s="398"/>
      <c r="AQ14" s="398"/>
      <c r="AR14" s="398"/>
      <c r="AS14" s="398"/>
      <c r="AT14" s="398"/>
      <c r="AU14" s="398"/>
    </row>
    <row r="15" spans="1:47" s="17" customFormat="1" ht="25.5">
      <c r="A15" s="398"/>
      <c r="B15" s="188" t="s">
        <v>663</v>
      </c>
      <c r="C15" s="311" t="s">
        <v>664</v>
      </c>
      <c r="D15" s="674">
        <v>0.15</v>
      </c>
      <c r="E15" s="498">
        <v>0.75</v>
      </c>
      <c r="F15" s="498">
        <f>Refrc!$F$268</f>
        <v>0.3</v>
      </c>
      <c r="G15" s="477">
        <f t="shared" si="0"/>
        <v>0.3</v>
      </c>
      <c r="H15" s="126">
        <f t="shared" si="1"/>
        <v>0.29999999999999993</v>
      </c>
      <c r="I15" s="171">
        <f t="shared" si="2"/>
        <v>0.29999999999999993</v>
      </c>
      <c r="J15" s="128">
        <f t="shared" si="3"/>
        <v>0</v>
      </c>
      <c r="K15" s="684"/>
      <c r="L15" s="398"/>
      <c r="M15" s="177">
        <f t="shared" si="4"/>
        <v>1</v>
      </c>
      <c r="N15" s="178">
        <v>0.4</v>
      </c>
      <c r="O15" s="178">
        <f>Test!$E$123</f>
        <v>0</v>
      </c>
      <c r="P15" s="398"/>
      <c r="Q15" s="398"/>
      <c r="R15" s="398"/>
      <c r="S15" s="398"/>
      <c r="T15" s="398"/>
      <c r="U15" s="398"/>
      <c r="V15" s="398"/>
      <c r="W15" s="398"/>
      <c r="X15" s="398"/>
      <c r="Y15" s="398"/>
      <c r="Z15" s="398"/>
      <c r="AA15" s="398"/>
      <c r="AB15" s="398"/>
      <c r="AC15" s="398"/>
      <c r="AD15" s="398"/>
      <c r="AE15" s="398"/>
      <c r="AF15" s="398"/>
      <c r="AG15" s="398"/>
      <c r="AH15" s="398"/>
      <c r="AI15" s="398"/>
      <c r="AJ15" s="398"/>
      <c r="AK15" s="398"/>
      <c r="AL15" s="398"/>
      <c r="AM15" s="398"/>
      <c r="AN15" s="398"/>
      <c r="AO15" s="398"/>
      <c r="AP15" s="398"/>
      <c r="AQ15" s="398"/>
      <c r="AR15" s="398"/>
      <c r="AS15" s="398"/>
      <c r="AT15" s="398"/>
      <c r="AU15" s="398"/>
    </row>
    <row r="16" spans="1:47" s="17" customFormat="1" ht="25.5">
      <c r="A16" s="398"/>
      <c r="B16" s="188" t="s">
        <v>665</v>
      </c>
      <c r="C16" s="311" t="s">
        <v>666</v>
      </c>
      <c r="D16" s="674">
        <v>0.65</v>
      </c>
      <c r="E16" s="498">
        <v>0.75</v>
      </c>
      <c r="F16" s="498">
        <f>Refrc!$F$268</f>
        <v>0.3</v>
      </c>
      <c r="G16" s="477">
        <f t="shared" si="0"/>
        <v>0.3</v>
      </c>
      <c r="H16" s="126">
        <f t="shared" si="1"/>
        <v>0.67500000000000004</v>
      </c>
      <c r="I16" s="171">
        <f t="shared" si="2"/>
        <v>0.67500000000000004</v>
      </c>
      <c r="J16" s="128">
        <f t="shared" si="3"/>
        <v>0</v>
      </c>
      <c r="K16" s="684"/>
      <c r="L16" s="398"/>
      <c r="M16" s="177">
        <f t="shared" si="4"/>
        <v>1</v>
      </c>
      <c r="N16" s="178">
        <v>0.3</v>
      </c>
      <c r="O16" s="178">
        <f>Test!$E$123</f>
        <v>0</v>
      </c>
      <c r="P16" s="398"/>
      <c r="Q16" s="398"/>
      <c r="R16" s="398"/>
      <c r="S16" s="398"/>
      <c r="T16" s="398"/>
      <c r="U16" s="398"/>
      <c r="V16" s="398"/>
      <c r="W16" s="398"/>
      <c r="X16" s="398"/>
      <c r="Y16" s="398"/>
      <c r="Z16" s="398"/>
      <c r="AA16" s="398"/>
      <c r="AB16" s="398"/>
      <c r="AC16" s="398"/>
      <c r="AD16" s="398"/>
      <c r="AE16" s="398"/>
      <c r="AF16" s="398"/>
      <c r="AG16" s="398"/>
      <c r="AH16" s="398"/>
      <c r="AI16" s="398"/>
      <c r="AJ16" s="398"/>
      <c r="AK16" s="398"/>
      <c r="AL16" s="398"/>
      <c r="AM16" s="398"/>
      <c r="AN16" s="398"/>
      <c r="AO16" s="398"/>
      <c r="AP16" s="398"/>
      <c r="AQ16" s="398"/>
      <c r="AR16" s="398"/>
      <c r="AS16" s="398"/>
      <c r="AT16" s="398"/>
      <c r="AU16" s="398"/>
    </row>
    <row r="17" spans="1:47" s="17" customFormat="1">
      <c r="A17" s="398"/>
      <c r="B17" s="188" t="s">
        <v>667</v>
      </c>
      <c r="C17" s="311" t="s">
        <v>668</v>
      </c>
      <c r="D17" s="674">
        <v>0.3</v>
      </c>
      <c r="E17" s="498">
        <v>0.6</v>
      </c>
      <c r="F17" s="498">
        <f>Refrc!$F$268</f>
        <v>0.3</v>
      </c>
      <c r="G17" s="477">
        <f t="shared" si="0"/>
        <v>0.3</v>
      </c>
      <c r="H17" s="126">
        <f t="shared" si="1"/>
        <v>0.375</v>
      </c>
      <c r="I17" s="171">
        <f t="shared" si="2"/>
        <v>0.375</v>
      </c>
      <c r="J17" s="128">
        <f t="shared" si="3"/>
        <v>0</v>
      </c>
      <c r="K17" s="684"/>
      <c r="L17" s="398"/>
      <c r="M17" s="177">
        <f t="shared" si="4"/>
        <v>1</v>
      </c>
      <c r="N17" s="178">
        <v>0.7</v>
      </c>
      <c r="O17" s="178">
        <f>Test!$E$123</f>
        <v>0</v>
      </c>
      <c r="P17" s="398"/>
      <c r="Q17" s="398"/>
      <c r="R17" s="398"/>
      <c r="S17" s="398"/>
      <c r="T17" s="398"/>
      <c r="U17" s="398"/>
      <c r="V17" s="398"/>
      <c r="W17" s="398"/>
      <c r="X17" s="398"/>
      <c r="Y17" s="398"/>
      <c r="Z17" s="398"/>
      <c r="AA17" s="398"/>
      <c r="AB17" s="398"/>
      <c r="AC17" s="398"/>
      <c r="AD17" s="398"/>
      <c r="AE17" s="398"/>
      <c r="AF17" s="398"/>
      <c r="AG17" s="398"/>
      <c r="AH17" s="398"/>
      <c r="AI17" s="398"/>
      <c r="AJ17" s="398"/>
      <c r="AK17" s="398"/>
      <c r="AL17" s="398"/>
      <c r="AM17" s="398"/>
      <c r="AN17" s="398"/>
      <c r="AO17" s="398"/>
      <c r="AP17" s="398"/>
      <c r="AQ17" s="398"/>
      <c r="AR17" s="398"/>
      <c r="AS17" s="398"/>
      <c r="AT17" s="398"/>
      <c r="AU17" s="398"/>
    </row>
    <row r="18" spans="1:47" s="17" customFormat="1" ht="25.5">
      <c r="A18" s="398"/>
      <c r="B18" s="188" t="s">
        <v>669</v>
      </c>
      <c r="C18" s="311" t="s">
        <v>670</v>
      </c>
      <c r="D18" s="674">
        <v>0.3</v>
      </c>
      <c r="E18" s="498">
        <v>0.75</v>
      </c>
      <c r="F18" s="498">
        <f>Refrc!$F$268</f>
        <v>0.3</v>
      </c>
      <c r="G18" s="477">
        <f t="shared" si="0"/>
        <v>0.3</v>
      </c>
      <c r="H18" s="126">
        <f t="shared" si="1"/>
        <v>0.41249999999999998</v>
      </c>
      <c r="I18" s="171">
        <f t="shared" si="2"/>
        <v>0.41249999999999998</v>
      </c>
      <c r="J18" s="128">
        <f t="shared" si="3"/>
        <v>0</v>
      </c>
      <c r="K18" s="684"/>
      <c r="L18" s="398"/>
      <c r="M18" s="177">
        <f t="shared" si="4"/>
        <v>1</v>
      </c>
      <c r="N18" s="178">
        <v>0.5</v>
      </c>
      <c r="O18" s="178">
        <f>Test!$E$123</f>
        <v>0</v>
      </c>
      <c r="P18" s="398"/>
      <c r="Q18" s="398"/>
      <c r="R18" s="398"/>
      <c r="S18" s="398"/>
      <c r="T18" s="398"/>
      <c r="U18" s="398"/>
      <c r="V18" s="398"/>
      <c r="W18" s="398"/>
      <c r="X18" s="398"/>
      <c r="Y18" s="398"/>
      <c r="Z18" s="398"/>
      <c r="AA18" s="398"/>
      <c r="AB18" s="398"/>
      <c r="AC18" s="398"/>
      <c r="AD18" s="398"/>
      <c r="AE18" s="398"/>
      <c r="AF18" s="398"/>
      <c r="AG18" s="398"/>
      <c r="AH18" s="398"/>
      <c r="AI18" s="398"/>
      <c r="AJ18" s="398"/>
      <c r="AK18" s="398"/>
      <c r="AL18" s="398"/>
      <c r="AM18" s="398"/>
      <c r="AN18" s="398"/>
      <c r="AO18" s="398"/>
      <c r="AP18" s="398"/>
      <c r="AQ18" s="398"/>
      <c r="AR18" s="398"/>
      <c r="AS18" s="398"/>
      <c r="AT18" s="398"/>
      <c r="AU18" s="398"/>
    </row>
    <row r="19" spans="1:47" s="75" customFormat="1" ht="26.25" thickBot="1">
      <c r="A19" s="398"/>
      <c r="B19" s="130" t="s">
        <v>671</v>
      </c>
      <c r="C19" s="704" t="s">
        <v>672</v>
      </c>
      <c r="D19" s="526">
        <v>30</v>
      </c>
      <c r="E19" s="527">
        <v>24</v>
      </c>
      <c r="F19" s="500">
        <f>Refrc!$F$268</f>
        <v>0.3</v>
      </c>
      <c r="G19" s="478">
        <f t="shared" si="0"/>
        <v>0.3</v>
      </c>
      <c r="H19" s="170">
        <f t="shared" si="1"/>
        <v>28.5</v>
      </c>
      <c r="I19" s="61">
        <f t="shared" si="2"/>
        <v>28.5</v>
      </c>
      <c r="J19" s="128">
        <f>(I19-H19)/H19*M19</f>
        <v>0</v>
      </c>
      <c r="K19" s="685"/>
      <c r="L19" s="398"/>
      <c r="M19" s="177">
        <f t="shared" si="4"/>
        <v>-1</v>
      </c>
      <c r="N19" s="178">
        <v>0.5</v>
      </c>
      <c r="O19" s="178">
        <f>Test!$E$123</f>
        <v>0</v>
      </c>
      <c r="P19" s="398"/>
      <c r="Q19" s="398"/>
      <c r="R19" s="398"/>
      <c r="S19" s="398"/>
      <c r="T19" s="398"/>
      <c r="U19" s="398"/>
      <c r="V19" s="398"/>
      <c r="W19" s="398"/>
      <c r="X19" s="398"/>
      <c r="Y19" s="398"/>
      <c r="Z19" s="398"/>
      <c r="AA19" s="398"/>
      <c r="AB19" s="398"/>
      <c r="AC19" s="398"/>
      <c r="AD19" s="398"/>
      <c r="AE19" s="398"/>
      <c r="AF19" s="398"/>
      <c r="AG19" s="398"/>
      <c r="AH19" s="398"/>
      <c r="AI19" s="398"/>
      <c r="AJ19" s="398"/>
      <c r="AK19" s="398"/>
      <c r="AL19" s="398"/>
      <c r="AM19" s="398"/>
      <c r="AN19" s="398"/>
      <c r="AO19" s="398"/>
      <c r="AP19" s="398"/>
      <c r="AQ19" s="398"/>
      <c r="AR19" s="398"/>
      <c r="AS19" s="398"/>
      <c r="AT19" s="398"/>
      <c r="AU19" s="398"/>
    </row>
    <row r="20" spans="1:47" ht="15.75" thickBot="1">
      <c r="A20" s="6" t="s">
        <v>673</v>
      </c>
      <c r="B20" s="398"/>
      <c r="C20" s="398"/>
      <c r="D20" s="398"/>
      <c r="E20" s="398"/>
      <c r="F20" s="398"/>
      <c r="G20" s="398"/>
      <c r="H20" s="398"/>
      <c r="I20" s="398"/>
      <c r="J20" s="398"/>
      <c r="K20" s="271"/>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398"/>
      <c r="AM20" s="398"/>
      <c r="AN20" s="398"/>
      <c r="AO20" s="398"/>
      <c r="AP20" s="398"/>
      <c r="AQ20" s="398"/>
      <c r="AR20" s="398"/>
      <c r="AS20" s="398"/>
      <c r="AT20" s="398"/>
      <c r="AU20" s="398"/>
    </row>
    <row r="21" spans="1:47" s="21" customFormat="1" ht="25.5">
      <c r="A21" s="398"/>
      <c r="B21" s="188" t="s">
        <v>674</v>
      </c>
      <c r="C21" s="311" t="s">
        <v>675</v>
      </c>
      <c r="D21" s="673">
        <v>0.3</v>
      </c>
      <c r="E21" s="496">
        <v>0.7</v>
      </c>
      <c r="F21" s="496">
        <f>Refrc!$F$269</f>
        <v>0.3</v>
      </c>
      <c r="G21" s="475">
        <f t="shared" ref="G21:G27" si="5">F21+(1-F21)*N21*O21</f>
        <v>0.3</v>
      </c>
      <c r="H21" s="126">
        <f t="shared" ref="H21:H27" si="6">(($E21-$D21)/($D$106-$D$105))*($F21-$D$105)+$D21</f>
        <v>0.39999999999999997</v>
      </c>
      <c r="I21" s="171">
        <f t="shared" ref="I21:I27" si="7">(($E21-$D21)/($D$106-$D$105))*($G21-$D$105)+$D21</f>
        <v>0.39999999999999997</v>
      </c>
      <c r="J21" s="128">
        <f t="shared" ref="J21:J27" si="8">(I21-H21)/H21*M21</f>
        <v>0</v>
      </c>
      <c r="K21" s="684"/>
      <c r="L21" s="398"/>
      <c r="M21" s="177">
        <f t="shared" ref="M21:M27" si="9">IF(D21&gt;E21,-1,1)</f>
        <v>1</v>
      </c>
      <c r="N21" s="178">
        <v>0.2</v>
      </c>
      <c r="O21" s="178">
        <f>Test!$E$124</f>
        <v>0</v>
      </c>
      <c r="P21" s="398"/>
      <c r="Q21" s="398"/>
      <c r="R21" s="398"/>
      <c r="S21" s="398"/>
      <c r="T21" s="398"/>
      <c r="U21" s="398"/>
      <c r="V21" s="398"/>
      <c r="W21" s="398"/>
      <c r="X21" s="398"/>
      <c r="Y21" s="398"/>
      <c r="Z21" s="398"/>
      <c r="AA21" s="398"/>
      <c r="AB21" s="398"/>
      <c r="AC21" s="398"/>
      <c r="AD21" s="398"/>
      <c r="AE21" s="398"/>
      <c r="AF21" s="398"/>
      <c r="AG21" s="398"/>
      <c r="AH21" s="398"/>
      <c r="AI21" s="398"/>
      <c r="AJ21" s="398"/>
      <c r="AK21" s="398"/>
      <c r="AL21" s="398"/>
      <c r="AM21" s="398"/>
      <c r="AN21" s="398"/>
      <c r="AO21" s="398"/>
      <c r="AP21" s="398"/>
      <c r="AQ21" s="398"/>
      <c r="AR21" s="398"/>
      <c r="AS21" s="398"/>
      <c r="AT21" s="398"/>
      <c r="AU21" s="398"/>
    </row>
    <row r="22" spans="1:47" s="21" customFormat="1" ht="25.5">
      <c r="A22" s="398"/>
      <c r="B22" s="188" t="s">
        <v>676</v>
      </c>
      <c r="C22" s="311" t="s">
        <v>677</v>
      </c>
      <c r="D22" s="528">
        <v>45</v>
      </c>
      <c r="E22" s="529">
        <v>2</v>
      </c>
      <c r="F22" s="498">
        <f>Refrc!$F$269</f>
        <v>0.3</v>
      </c>
      <c r="G22" s="477">
        <f t="shared" si="5"/>
        <v>0.3</v>
      </c>
      <c r="H22" s="127">
        <f t="shared" si="6"/>
        <v>34.25</v>
      </c>
      <c r="I22" s="104">
        <f t="shared" si="7"/>
        <v>34.25</v>
      </c>
      <c r="J22" s="128">
        <f t="shared" si="8"/>
        <v>0</v>
      </c>
      <c r="K22" s="684"/>
      <c r="L22" s="398"/>
      <c r="M22" s="177">
        <f t="shared" si="9"/>
        <v>-1</v>
      </c>
      <c r="N22" s="178">
        <v>0.25</v>
      </c>
      <c r="O22" s="178">
        <f>Test!$E$124</f>
        <v>0</v>
      </c>
      <c r="P22" s="398"/>
      <c r="Q22" s="398"/>
      <c r="R22" s="398"/>
      <c r="S22" s="398"/>
      <c r="T22" s="398"/>
      <c r="U22" s="398"/>
      <c r="V22" s="398"/>
      <c r="W22" s="398"/>
      <c r="X22" s="398"/>
      <c r="Y22" s="398"/>
      <c r="Z22" s="398"/>
      <c r="AA22" s="398"/>
      <c r="AB22" s="398"/>
      <c r="AC22" s="398"/>
      <c r="AD22" s="398"/>
      <c r="AE22" s="398"/>
      <c r="AF22" s="398"/>
      <c r="AG22" s="398"/>
      <c r="AH22" s="398"/>
      <c r="AI22" s="398"/>
      <c r="AJ22" s="398"/>
      <c r="AK22" s="398"/>
      <c r="AL22" s="398"/>
      <c r="AM22" s="398"/>
      <c r="AN22" s="398"/>
      <c r="AO22" s="398"/>
      <c r="AP22" s="398"/>
      <c r="AQ22" s="398"/>
      <c r="AR22" s="398"/>
      <c r="AS22" s="398"/>
      <c r="AT22" s="398"/>
      <c r="AU22" s="398"/>
    </row>
    <row r="23" spans="1:47" s="17" customFormat="1">
      <c r="A23" s="398"/>
      <c r="B23" s="188" t="s">
        <v>678</v>
      </c>
      <c r="C23" s="311" t="s">
        <v>679</v>
      </c>
      <c r="D23" s="674">
        <v>0.25</v>
      </c>
      <c r="E23" s="498">
        <v>0.125</v>
      </c>
      <c r="F23" s="498">
        <f>Refrc!$F$269</f>
        <v>0.3</v>
      </c>
      <c r="G23" s="477">
        <f t="shared" si="5"/>
        <v>0.3</v>
      </c>
      <c r="H23" s="126">
        <f t="shared" si="6"/>
        <v>0.21875</v>
      </c>
      <c r="I23" s="171">
        <f t="shared" si="7"/>
        <v>0.21875</v>
      </c>
      <c r="J23" s="128">
        <f t="shared" si="8"/>
        <v>0</v>
      </c>
      <c r="K23" s="684"/>
      <c r="L23" s="398"/>
      <c r="M23" s="177">
        <f t="shared" si="9"/>
        <v>-1</v>
      </c>
      <c r="N23" s="178">
        <v>0.6</v>
      </c>
      <c r="O23" s="178">
        <f>Test!$E$124</f>
        <v>0</v>
      </c>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398"/>
      <c r="AM23" s="398"/>
      <c r="AN23" s="398"/>
      <c r="AO23" s="398"/>
      <c r="AP23" s="398"/>
      <c r="AQ23" s="398"/>
      <c r="AR23" s="398"/>
      <c r="AS23" s="398"/>
      <c r="AT23" s="398"/>
      <c r="AU23" s="398"/>
    </row>
    <row r="24" spans="1:47" s="17" customFormat="1">
      <c r="A24" s="398"/>
      <c r="B24" s="188" t="s">
        <v>680</v>
      </c>
      <c r="C24" s="311" t="s">
        <v>681</v>
      </c>
      <c r="D24" s="674">
        <v>0.9</v>
      </c>
      <c r="E24" s="498">
        <v>0.94499999999999995</v>
      </c>
      <c r="F24" s="498">
        <f>Refrc!$F$269</f>
        <v>0.3</v>
      </c>
      <c r="G24" s="477">
        <f t="shared" si="5"/>
        <v>0.3</v>
      </c>
      <c r="H24" s="126">
        <f t="shared" si="6"/>
        <v>0.91125</v>
      </c>
      <c r="I24" s="171">
        <f t="shared" si="7"/>
        <v>0.91125</v>
      </c>
      <c r="J24" s="128">
        <f t="shared" si="8"/>
        <v>0</v>
      </c>
      <c r="K24" s="684"/>
      <c r="L24" s="398"/>
      <c r="M24" s="177">
        <f t="shared" si="9"/>
        <v>1</v>
      </c>
      <c r="N24" s="178">
        <v>0.2</v>
      </c>
      <c r="O24" s="178">
        <f>Test!$E$124</f>
        <v>0</v>
      </c>
      <c r="P24" s="398"/>
      <c r="Q24" s="398"/>
      <c r="R24" s="398"/>
      <c r="S24" s="398"/>
      <c r="T24" s="398"/>
      <c r="U24" s="398"/>
      <c r="V24" s="398"/>
      <c r="W24" s="398"/>
      <c r="X24" s="398"/>
      <c r="Y24" s="398"/>
      <c r="Z24" s="398"/>
      <c r="AA24" s="398"/>
      <c r="AB24" s="398"/>
      <c r="AC24" s="398"/>
      <c r="AD24" s="398"/>
      <c r="AE24" s="398"/>
      <c r="AF24" s="398"/>
      <c r="AG24" s="398"/>
      <c r="AH24" s="398"/>
      <c r="AI24" s="398"/>
      <c r="AJ24" s="398"/>
      <c r="AK24" s="398"/>
      <c r="AL24" s="398"/>
      <c r="AM24" s="398"/>
      <c r="AN24" s="398"/>
      <c r="AO24" s="398"/>
      <c r="AP24" s="398"/>
      <c r="AQ24" s="398"/>
      <c r="AR24" s="398"/>
      <c r="AS24" s="398"/>
      <c r="AT24" s="398"/>
      <c r="AU24" s="398"/>
    </row>
    <row r="25" spans="1:47" s="17" customFormat="1">
      <c r="A25" s="398"/>
      <c r="B25" s="188" t="s">
        <v>682</v>
      </c>
      <c r="C25" s="311" t="s">
        <v>683</v>
      </c>
      <c r="D25" s="528">
        <v>30</v>
      </c>
      <c r="E25" s="529">
        <v>24</v>
      </c>
      <c r="F25" s="498">
        <f>Refrc!$F$269</f>
        <v>0.3</v>
      </c>
      <c r="G25" s="477">
        <f t="shared" si="5"/>
        <v>0.3</v>
      </c>
      <c r="H25" s="127">
        <f t="shared" si="6"/>
        <v>28.5</v>
      </c>
      <c r="I25" s="104">
        <f t="shared" si="7"/>
        <v>28.5</v>
      </c>
      <c r="J25" s="128">
        <f t="shared" si="8"/>
        <v>0</v>
      </c>
      <c r="K25" s="684"/>
      <c r="L25" s="398"/>
      <c r="M25" s="177">
        <f t="shared" si="9"/>
        <v>-1</v>
      </c>
      <c r="N25" s="178">
        <v>0.3</v>
      </c>
      <c r="O25" s="178">
        <f>Test!$E$124</f>
        <v>0</v>
      </c>
      <c r="P25" s="398"/>
      <c r="Q25" s="398"/>
      <c r="R25" s="398"/>
      <c r="S25" s="398"/>
      <c r="T25" s="398"/>
      <c r="U25" s="398"/>
      <c r="V25" s="398"/>
      <c r="W25" s="398"/>
      <c r="X25" s="398"/>
      <c r="Y25" s="398"/>
      <c r="Z25" s="398"/>
      <c r="AA25" s="398"/>
      <c r="AB25" s="398"/>
      <c r="AC25" s="398"/>
      <c r="AD25" s="398"/>
      <c r="AE25" s="398"/>
      <c r="AF25" s="398"/>
      <c r="AG25" s="398"/>
      <c r="AH25" s="398"/>
      <c r="AI25" s="398"/>
      <c r="AJ25" s="398"/>
      <c r="AK25" s="398"/>
      <c r="AL25" s="398"/>
      <c r="AM25" s="398"/>
      <c r="AN25" s="398"/>
      <c r="AO25" s="398"/>
      <c r="AP25" s="398"/>
      <c r="AQ25" s="398"/>
      <c r="AR25" s="398"/>
      <c r="AS25" s="398"/>
      <c r="AT25" s="398"/>
      <c r="AU25" s="398"/>
    </row>
    <row r="26" spans="1:47" s="75" customFormat="1" ht="25.5">
      <c r="A26" s="398"/>
      <c r="B26" s="188" t="s">
        <v>684</v>
      </c>
      <c r="C26" s="311" t="s">
        <v>685</v>
      </c>
      <c r="D26" s="674">
        <v>0.3</v>
      </c>
      <c r="E26" s="498">
        <v>0.99</v>
      </c>
      <c r="F26" s="498">
        <f>Refrc!$F$269</f>
        <v>0.3</v>
      </c>
      <c r="G26" s="477">
        <f t="shared" si="5"/>
        <v>0.3</v>
      </c>
      <c r="H26" s="126">
        <f t="shared" si="6"/>
        <v>0.47249999999999992</v>
      </c>
      <c r="I26" s="171">
        <f t="shared" si="7"/>
        <v>0.47249999999999992</v>
      </c>
      <c r="J26" s="128">
        <f>(I26-H26)/H26*M26</f>
        <v>0</v>
      </c>
      <c r="K26" s="684"/>
      <c r="L26" s="398"/>
      <c r="M26" s="177">
        <f t="shared" si="9"/>
        <v>1</v>
      </c>
      <c r="N26" s="178">
        <v>0.3</v>
      </c>
      <c r="O26" s="178">
        <f>Test!$E$124</f>
        <v>0</v>
      </c>
      <c r="P26" s="398"/>
      <c r="Q26" s="398"/>
      <c r="R26" s="398"/>
      <c r="S26" s="398"/>
      <c r="T26" s="398"/>
      <c r="U26" s="398"/>
      <c r="V26" s="398"/>
      <c r="W26" s="398"/>
      <c r="X26" s="398"/>
      <c r="Y26" s="398"/>
      <c r="Z26" s="398"/>
      <c r="AA26" s="398"/>
      <c r="AB26" s="398"/>
      <c r="AC26" s="398"/>
      <c r="AD26" s="398"/>
      <c r="AE26" s="398"/>
      <c r="AF26" s="398"/>
      <c r="AG26" s="398"/>
      <c r="AH26" s="398"/>
      <c r="AI26" s="398"/>
      <c r="AJ26" s="398"/>
      <c r="AK26" s="398"/>
      <c r="AL26" s="398"/>
      <c r="AM26" s="398"/>
      <c r="AN26" s="398"/>
      <c r="AO26" s="398"/>
      <c r="AP26" s="398"/>
      <c r="AQ26" s="398"/>
      <c r="AR26" s="398"/>
      <c r="AS26" s="398"/>
      <c r="AT26" s="398"/>
      <c r="AU26" s="398"/>
    </row>
    <row r="27" spans="1:47" s="17" customFormat="1" ht="26.25" thickBot="1">
      <c r="A27" s="398"/>
      <c r="B27" s="130" t="s">
        <v>686</v>
      </c>
      <c r="C27" s="704" t="s">
        <v>687</v>
      </c>
      <c r="D27" s="668">
        <v>0.5</v>
      </c>
      <c r="E27" s="500">
        <v>0.7</v>
      </c>
      <c r="F27" s="500">
        <f>Refrc!$F$269</f>
        <v>0.3</v>
      </c>
      <c r="G27" s="478">
        <f t="shared" si="5"/>
        <v>0.3</v>
      </c>
      <c r="H27" s="126">
        <f t="shared" si="6"/>
        <v>0.54999999999999993</v>
      </c>
      <c r="I27" s="171">
        <f t="shared" si="7"/>
        <v>0.54999999999999993</v>
      </c>
      <c r="J27" s="128">
        <f t="shared" si="8"/>
        <v>0</v>
      </c>
      <c r="K27" s="685"/>
      <c r="L27" s="398"/>
      <c r="M27" s="177">
        <f t="shared" si="9"/>
        <v>1</v>
      </c>
      <c r="N27" s="178">
        <v>0.3</v>
      </c>
      <c r="O27" s="178">
        <f>Test!$E$124</f>
        <v>0</v>
      </c>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8"/>
      <c r="AR27" s="398"/>
      <c r="AS27" s="398"/>
      <c r="AT27" s="398"/>
      <c r="AU27" s="398"/>
    </row>
    <row r="28" spans="1:47" ht="15.75" thickBot="1">
      <c r="A28" s="6" t="s">
        <v>688</v>
      </c>
      <c r="B28" s="398"/>
      <c r="C28" s="398"/>
      <c r="D28" s="398"/>
      <c r="E28" s="398"/>
      <c r="F28" s="398"/>
      <c r="G28" s="398"/>
      <c r="H28" s="398"/>
      <c r="I28" s="398"/>
      <c r="J28" s="398"/>
      <c r="K28" s="271"/>
      <c r="L28" s="398"/>
      <c r="M28" s="398"/>
      <c r="N28" s="398"/>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8"/>
      <c r="AN28" s="398"/>
      <c r="AO28" s="398"/>
      <c r="AP28" s="398"/>
      <c r="AQ28" s="398"/>
      <c r="AR28" s="398"/>
      <c r="AS28" s="398"/>
      <c r="AT28" s="398"/>
      <c r="AU28" s="398"/>
    </row>
    <row r="29" spans="1:47" s="17" customFormat="1" ht="38.25">
      <c r="A29" s="398"/>
      <c r="B29" s="188" t="s">
        <v>689</v>
      </c>
      <c r="C29" s="311" t="s">
        <v>690</v>
      </c>
      <c r="D29" s="673">
        <v>0.3</v>
      </c>
      <c r="E29" s="496">
        <v>0.99</v>
      </c>
      <c r="F29" s="496">
        <f>Refrc!$F$270</f>
        <v>0.3</v>
      </c>
      <c r="G29" s="475">
        <f t="shared" ref="G29:G35" si="10">F29+(1-F29)*N29*O29</f>
        <v>0.35249999999999998</v>
      </c>
      <c r="H29" s="126">
        <f t="shared" ref="H29:H34" si="11">(($E29-$D29)/($D$106-$D$105))*($F29-$D$105)+$D29</f>
        <v>0.47249999999999992</v>
      </c>
      <c r="I29" s="171">
        <f t="shared" ref="I29:I34" si="12">(($E29-$D29)/($D$106-$D$105))*($G29-$D$105)+$D29</f>
        <v>0.51778124999999986</v>
      </c>
      <c r="J29" s="128">
        <f t="shared" ref="J29:J35" si="13">(I29-H29)/H29*M29</f>
        <v>9.5833333333333215E-2</v>
      </c>
      <c r="K29" s="684"/>
      <c r="L29" s="398"/>
      <c r="M29" s="177">
        <f t="shared" ref="M29:M35" si="14">IF(D29&gt;E29,-1,1)</f>
        <v>1</v>
      </c>
      <c r="N29" s="178">
        <v>0.5</v>
      </c>
      <c r="O29" s="178">
        <f>Test!$E$125</f>
        <v>0.15</v>
      </c>
      <c r="P29" s="398"/>
      <c r="Q29" s="398"/>
      <c r="R29" s="398"/>
      <c r="S29" s="398"/>
      <c r="T29" s="398"/>
      <c r="U29" s="398"/>
      <c r="V29" s="398"/>
      <c r="W29" s="398"/>
      <c r="X29" s="398"/>
      <c r="Y29" s="398"/>
      <c r="Z29" s="398"/>
      <c r="AA29" s="398"/>
      <c r="AB29" s="398"/>
      <c r="AC29" s="398"/>
      <c r="AD29" s="398"/>
      <c r="AE29" s="398"/>
      <c r="AF29" s="398"/>
      <c r="AG29" s="398"/>
      <c r="AH29" s="398"/>
      <c r="AI29" s="398"/>
      <c r="AJ29" s="398"/>
      <c r="AK29" s="398"/>
      <c r="AL29" s="398"/>
      <c r="AM29" s="398"/>
      <c r="AN29" s="398"/>
      <c r="AO29" s="398"/>
      <c r="AP29" s="398"/>
      <c r="AQ29" s="398"/>
      <c r="AR29" s="398"/>
      <c r="AS29" s="398"/>
      <c r="AT29" s="398"/>
      <c r="AU29" s="398"/>
    </row>
    <row r="30" spans="1:47" s="21" customFormat="1" ht="25.5">
      <c r="A30" s="398"/>
      <c r="B30" s="188" t="s">
        <v>691</v>
      </c>
      <c r="C30" s="311" t="s">
        <v>692</v>
      </c>
      <c r="D30" s="674">
        <v>0.1</v>
      </c>
      <c r="E30" s="498">
        <v>0.9</v>
      </c>
      <c r="F30" s="498">
        <f>Refrc!$F$270</f>
        <v>0.3</v>
      </c>
      <c r="G30" s="477">
        <f t="shared" si="10"/>
        <v>0.35249999999999998</v>
      </c>
      <c r="H30" s="126">
        <f t="shared" si="11"/>
        <v>0.3</v>
      </c>
      <c r="I30" s="171">
        <f t="shared" si="12"/>
        <v>0.35249999999999992</v>
      </c>
      <c r="J30" s="128">
        <f t="shared" si="13"/>
        <v>0.17499999999999979</v>
      </c>
      <c r="K30" s="684"/>
      <c r="L30" s="398"/>
      <c r="M30" s="177">
        <f t="shared" si="14"/>
        <v>1</v>
      </c>
      <c r="N30" s="178">
        <v>0.5</v>
      </c>
      <c r="O30" s="178">
        <f>Test!$E$125</f>
        <v>0.15</v>
      </c>
      <c r="P30" s="398"/>
      <c r="Q30" s="398"/>
      <c r="R30" s="398"/>
      <c r="S30" s="398"/>
      <c r="T30" s="398"/>
      <c r="U30" s="398"/>
      <c r="V30" s="398"/>
      <c r="W30" s="398"/>
      <c r="X30" s="398"/>
      <c r="Y30" s="398"/>
      <c r="Z30" s="398"/>
      <c r="AA30" s="398"/>
      <c r="AB30" s="398"/>
      <c r="AC30" s="398"/>
      <c r="AD30" s="398"/>
      <c r="AE30" s="398"/>
      <c r="AF30" s="398"/>
      <c r="AG30" s="398"/>
      <c r="AH30" s="398"/>
      <c r="AI30" s="398"/>
      <c r="AJ30" s="398"/>
      <c r="AK30" s="398"/>
      <c r="AL30" s="398"/>
      <c r="AM30" s="398"/>
      <c r="AN30" s="398"/>
      <c r="AO30" s="398"/>
      <c r="AP30" s="398"/>
      <c r="AQ30" s="398"/>
      <c r="AR30" s="398"/>
      <c r="AS30" s="398"/>
      <c r="AT30" s="398"/>
      <c r="AU30" s="398"/>
    </row>
    <row r="31" spans="1:47" s="21" customFormat="1">
      <c r="A31" s="398"/>
      <c r="B31" s="188" t="s">
        <v>693</v>
      </c>
      <c r="C31" s="311" t="s">
        <v>694</v>
      </c>
      <c r="D31" s="674">
        <v>0.1</v>
      </c>
      <c r="E31" s="498">
        <v>0.9</v>
      </c>
      <c r="F31" s="498">
        <f>Refrc!$F$270</f>
        <v>0.3</v>
      </c>
      <c r="G31" s="477">
        <f t="shared" si="10"/>
        <v>0.36299999999999999</v>
      </c>
      <c r="H31" s="126">
        <f t="shared" si="11"/>
        <v>0.3</v>
      </c>
      <c r="I31" s="171">
        <f t="shared" si="12"/>
        <v>0.36299999999999999</v>
      </c>
      <c r="J31" s="128">
        <f t="shared" si="13"/>
        <v>0.21000000000000002</v>
      </c>
      <c r="K31" s="684"/>
      <c r="L31" s="398"/>
      <c r="M31" s="177">
        <f t="shared" si="14"/>
        <v>1</v>
      </c>
      <c r="N31" s="178">
        <v>0.6</v>
      </c>
      <c r="O31" s="178">
        <f>Test!$E$125</f>
        <v>0.15</v>
      </c>
      <c r="P31" s="398"/>
      <c r="Q31" s="398"/>
      <c r="R31" s="398"/>
      <c r="S31" s="398"/>
      <c r="T31" s="398"/>
      <c r="U31" s="398"/>
      <c r="V31" s="398"/>
      <c r="W31" s="398"/>
      <c r="X31" s="398"/>
      <c r="Y31" s="398"/>
      <c r="Z31" s="398"/>
      <c r="AA31" s="398"/>
      <c r="AB31" s="398"/>
      <c r="AC31" s="398"/>
      <c r="AD31" s="398"/>
      <c r="AE31" s="398"/>
      <c r="AF31" s="398"/>
      <c r="AG31" s="398"/>
      <c r="AH31" s="398"/>
      <c r="AI31" s="398"/>
      <c r="AJ31" s="398"/>
      <c r="AK31" s="398"/>
      <c r="AL31" s="398"/>
      <c r="AM31" s="398"/>
      <c r="AN31" s="398"/>
      <c r="AO31" s="398"/>
      <c r="AP31" s="398"/>
      <c r="AQ31" s="398"/>
      <c r="AR31" s="398"/>
      <c r="AS31" s="398"/>
      <c r="AT31" s="398"/>
      <c r="AU31" s="398"/>
    </row>
    <row r="32" spans="1:47" s="21" customFormat="1" ht="25.5">
      <c r="A32" s="398"/>
      <c r="B32" s="188" t="s">
        <v>695</v>
      </c>
      <c r="C32" s="311" t="s">
        <v>696</v>
      </c>
      <c r="D32" s="528">
        <v>3</v>
      </c>
      <c r="E32" s="529">
        <v>0.2</v>
      </c>
      <c r="F32" s="498">
        <f>Refrc!$F$270</f>
        <v>0.3</v>
      </c>
      <c r="G32" s="477">
        <f t="shared" si="10"/>
        <v>0.35249999999999998</v>
      </c>
      <c r="H32" s="127">
        <f t="shared" si="11"/>
        <v>2.3000000000000003</v>
      </c>
      <c r="I32" s="104">
        <f t="shared" si="12"/>
        <v>2.1162500000000004</v>
      </c>
      <c r="J32" s="128">
        <f t="shared" si="13"/>
        <v>7.9891304347826014E-2</v>
      </c>
      <c r="K32" s="684"/>
      <c r="L32" s="398"/>
      <c r="M32" s="177">
        <f t="shared" si="14"/>
        <v>-1</v>
      </c>
      <c r="N32" s="178">
        <v>0.5</v>
      </c>
      <c r="O32" s="178">
        <f>Test!$E$125</f>
        <v>0.15</v>
      </c>
      <c r="P32" s="398"/>
      <c r="Q32" s="398"/>
      <c r="R32" s="398"/>
      <c r="S32" s="398"/>
      <c r="T32" s="398"/>
      <c r="U32" s="398"/>
      <c r="V32" s="398"/>
      <c r="W32" s="398"/>
      <c r="X32" s="398"/>
      <c r="Y32" s="398"/>
      <c r="Z32" s="398"/>
      <c r="AA32" s="398"/>
      <c r="AB32" s="398"/>
      <c r="AC32" s="398"/>
      <c r="AD32" s="398"/>
      <c r="AE32" s="398"/>
      <c r="AF32" s="398"/>
      <c r="AG32" s="398"/>
      <c r="AH32" s="398"/>
      <c r="AI32" s="398"/>
      <c r="AJ32" s="398"/>
      <c r="AK32" s="398"/>
      <c r="AL32" s="398"/>
      <c r="AM32" s="398"/>
      <c r="AN32" s="398"/>
      <c r="AO32" s="398"/>
      <c r="AP32" s="398"/>
      <c r="AQ32" s="398"/>
      <c r="AR32" s="398"/>
      <c r="AS32" s="398"/>
      <c r="AT32" s="398"/>
      <c r="AU32" s="398"/>
    </row>
    <row r="33" spans="1:47" s="17" customFormat="1" ht="25.5">
      <c r="A33" s="398"/>
      <c r="B33" s="188" t="s">
        <v>697</v>
      </c>
      <c r="C33" s="311" t="s">
        <v>698</v>
      </c>
      <c r="D33" s="528">
        <v>120</v>
      </c>
      <c r="E33" s="529">
        <v>35</v>
      </c>
      <c r="F33" s="498">
        <f>Refrc!$F$270</f>
        <v>0.3</v>
      </c>
      <c r="G33" s="477">
        <f t="shared" si="10"/>
        <v>0.35249999999999998</v>
      </c>
      <c r="H33" s="127">
        <f t="shared" si="11"/>
        <v>98.75</v>
      </c>
      <c r="I33" s="104">
        <f t="shared" si="12"/>
        <v>93.171875</v>
      </c>
      <c r="J33" s="128">
        <f t="shared" si="13"/>
        <v>5.6487341772151901E-2</v>
      </c>
      <c r="K33" s="684"/>
      <c r="L33" s="398"/>
      <c r="M33" s="177">
        <f t="shared" si="14"/>
        <v>-1</v>
      </c>
      <c r="N33" s="178">
        <v>0.5</v>
      </c>
      <c r="O33" s="178">
        <f>Test!$E$125</f>
        <v>0.15</v>
      </c>
      <c r="P33" s="398"/>
      <c r="Q33" s="398"/>
      <c r="R33" s="398"/>
      <c r="S33" s="398"/>
      <c r="T33" s="398"/>
      <c r="U33" s="398"/>
      <c r="V33" s="398"/>
      <c r="W33" s="398"/>
      <c r="X33" s="398"/>
      <c r="Y33" s="398"/>
      <c r="Z33" s="398"/>
      <c r="AA33" s="398"/>
      <c r="AB33" s="398"/>
      <c r="AC33" s="398"/>
      <c r="AD33" s="398"/>
      <c r="AE33" s="398"/>
      <c r="AF33" s="398"/>
      <c r="AG33" s="398"/>
      <c r="AH33" s="398"/>
      <c r="AI33" s="398"/>
      <c r="AJ33" s="398"/>
      <c r="AK33" s="398"/>
      <c r="AL33" s="398"/>
      <c r="AM33" s="398"/>
      <c r="AN33" s="398"/>
      <c r="AO33" s="398"/>
      <c r="AP33" s="398"/>
      <c r="AQ33" s="398"/>
      <c r="AR33" s="398"/>
      <c r="AS33" s="398"/>
      <c r="AT33" s="398"/>
      <c r="AU33" s="398"/>
    </row>
    <row r="34" spans="1:47" s="17" customFormat="1" ht="25.5">
      <c r="A34" s="398"/>
      <c r="B34" s="188" t="s">
        <v>699</v>
      </c>
      <c r="C34" s="311" t="s">
        <v>700</v>
      </c>
      <c r="D34" s="674">
        <v>0.3</v>
      </c>
      <c r="E34" s="498">
        <v>0.95</v>
      </c>
      <c r="F34" s="498">
        <f>Refrc!$F$270</f>
        <v>0.3</v>
      </c>
      <c r="G34" s="477">
        <f t="shared" si="10"/>
        <v>0.37349999999999994</v>
      </c>
      <c r="H34" s="126">
        <f t="shared" si="11"/>
        <v>0.46249999999999997</v>
      </c>
      <c r="I34" s="171">
        <f t="shared" si="12"/>
        <v>0.52221874999999995</v>
      </c>
      <c r="J34" s="128">
        <f t="shared" si="13"/>
        <v>0.12912162162162161</v>
      </c>
      <c r="K34" s="684"/>
      <c r="L34" s="398"/>
      <c r="M34" s="177">
        <f t="shared" si="14"/>
        <v>1</v>
      </c>
      <c r="N34" s="178">
        <v>0.7</v>
      </c>
      <c r="O34" s="178">
        <f>Test!$E$125</f>
        <v>0.15</v>
      </c>
      <c r="P34" s="398"/>
      <c r="Q34" s="398"/>
      <c r="R34" s="398"/>
      <c r="S34" s="398"/>
      <c r="T34" s="398"/>
      <c r="U34" s="398"/>
      <c r="V34" s="398"/>
      <c r="W34" s="398"/>
      <c r="X34" s="398"/>
      <c r="Y34" s="398"/>
      <c r="Z34" s="398"/>
      <c r="AA34" s="398"/>
      <c r="AB34" s="398"/>
      <c r="AC34" s="398"/>
      <c r="AD34" s="398"/>
      <c r="AE34" s="398"/>
      <c r="AF34" s="398"/>
      <c r="AG34" s="398"/>
      <c r="AH34" s="398"/>
      <c r="AI34" s="398"/>
      <c r="AJ34" s="398"/>
      <c r="AK34" s="398"/>
      <c r="AL34" s="398"/>
      <c r="AM34" s="398"/>
      <c r="AN34" s="398"/>
      <c r="AO34" s="398"/>
      <c r="AP34" s="398"/>
      <c r="AQ34" s="398"/>
      <c r="AR34" s="398"/>
      <c r="AS34" s="398"/>
      <c r="AT34" s="398"/>
      <c r="AU34" s="398"/>
    </row>
    <row r="35" spans="1:47" s="17" customFormat="1" ht="13.5" thickBot="1">
      <c r="A35" s="398"/>
      <c r="B35" s="130" t="s">
        <v>183</v>
      </c>
      <c r="C35" s="704" t="s">
        <v>701</v>
      </c>
      <c r="D35" s="522">
        <v>50</v>
      </c>
      <c r="E35" s="523">
        <v>20</v>
      </c>
      <c r="F35" s="500">
        <f>Refrc!$F$270</f>
        <v>0.3</v>
      </c>
      <c r="G35" s="478">
        <f t="shared" si="10"/>
        <v>0.38400000000000001</v>
      </c>
      <c r="H35" s="127">
        <f>(($E35-$D35)/($D$106-$D$105))*($F35-$D$105)+$D35</f>
        <v>42.5</v>
      </c>
      <c r="I35" s="104">
        <f>(($E35-$D35)/($D$106-$D$105))*($G35-$D$105)+$D35</f>
        <v>39.35</v>
      </c>
      <c r="J35" s="128">
        <f t="shared" si="13"/>
        <v>7.4117647058823496E-2</v>
      </c>
      <c r="K35" s="685"/>
      <c r="L35" s="398"/>
      <c r="M35" s="177">
        <f t="shared" si="14"/>
        <v>-1</v>
      </c>
      <c r="N35" s="178">
        <v>0.8</v>
      </c>
      <c r="O35" s="178">
        <f>Test!$E$125</f>
        <v>0.15</v>
      </c>
      <c r="P35" s="398"/>
      <c r="Q35" s="398"/>
      <c r="R35" s="398"/>
      <c r="S35" s="398"/>
      <c r="T35" s="398"/>
      <c r="U35" s="398"/>
      <c r="V35" s="398"/>
      <c r="W35" s="398"/>
      <c r="X35" s="398"/>
      <c r="Y35" s="398"/>
      <c r="Z35" s="398"/>
      <c r="AA35" s="398"/>
      <c r="AB35" s="398"/>
      <c r="AC35" s="398"/>
      <c r="AD35" s="398"/>
      <c r="AE35" s="398"/>
      <c r="AF35" s="398"/>
      <c r="AG35" s="398"/>
      <c r="AH35" s="398"/>
      <c r="AI35" s="398"/>
      <c r="AJ35" s="398"/>
      <c r="AK35" s="398"/>
      <c r="AL35" s="398"/>
      <c r="AM35" s="398"/>
      <c r="AN35" s="398"/>
      <c r="AO35" s="398"/>
      <c r="AP35" s="398"/>
      <c r="AQ35" s="398"/>
      <c r="AR35" s="398"/>
      <c r="AS35" s="398"/>
      <c r="AT35" s="398"/>
      <c r="AU35" s="398"/>
    </row>
    <row r="36" spans="1:47" ht="12" customHeight="1">
      <c r="A36" s="398"/>
      <c r="B36" s="398"/>
      <c r="C36" s="398"/>
      <c r="D36" s="270"/>
      <c r="E36" s="270"/>
      <c r="F36" s="270"/>
      <c r="G36" s="398"/>
      <c r="H36" s="270"/>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8"/>
      <c r="AI36" s="398"/>
      <c r="AJ36" s="398"/>
      <c r="AK36" s="398"/>
      <c r="AL36" s="398"/>
      <c r="AM36" s="398"/>
      <c r="AN36" s="398"/>
      <c r="AO36" s="398"/>
      <c r="AP36" s="398"/>
      <c r="AQ36" s="398"/>
      <c r="AR36" s="398"/>
      <c r="AS36" s="398"/>
      <c r="AT36" s="398"/>
      <c r="AU36" s="398"/>
    </row>
    <row r="37" spans="1:47" ht="12.75" customHeight="1">
      <c r="A37" s="6" t="s">
        <v>229</v>
      </c>
      <c r="B37" s="398"/>
      <c r="C37" s="398"/>
      <c r="D37" s="270"/>
      <c r="E37" s="270"/>
      <c r="F37" s="398"/>
      <c r="G37" s="398"/>
      <c r="H37" s="398"/>
      <c r="I37" s="398"/>
      <c r="J37" s="398"/>
      <c r="K37" s="398"/>
      <c r="L37" s="398"/>
      <c r="M37" s="398"/>
      <c r="N37" s="398"/>
      <c r="O37" s="398"/>
      <c r="P37" s="398"/>
      <c r="Q37" s="398"/>
      <c r="R37" s="398"/>
      <c r="S37" s="398"/>
      <c r="T37" s="398"/>
      <c r="U37" s="398"/>
      <c r="V37" s="398"/>
      <c r="W37" s="398"/>
      <c r="X37" s="398"/>
      <c r="Y37" s="398"/>
      <c r="Z37" s="398"/>
      <c r="AA37" s="398"/>
      <c r="AB37" s="398"/>
      <c r="AC37" s="398"/>
      <c r="AD37" s="398"/>
      <c r="AE37" s="398"/>
      <c r="AF37" s="398"/>
      <c r="AG37" s="398"/>
      <c r="AH37" s="398"/>
      <c r="AI37" s="398"/>
      <c r="AJ37" s="398"/>
      <c r="AK37" s="398"/>
      <c r="AL37" s="398"/>
      <c r="AM37" s="398"/>
      <c r="AN37" s="398"/>
      <c r="AO37" s="398"/>
      <c r="AP37" s="398"/>
      <c r="AQ37" s="398"/>
      <c r="AR37" s="398"/>
      <c r="AS37" s="398"/>
      <c r="AT37" s="398"/>
      <c r="AU37" s="398"/>
    </row>
    <row r="38" spans="1:47" s="32" customFormat="1" ht="27.75" customHeight="1">
      <c r="A38" s="6"/>
      <c r="B38" s="791" t="s">
        <v>702</v>
      </c>
      <c r="C38" s="791"/>
      <c r="D38" s="791"/>
      <c r="E38" s="791"/>
      <c r="F38" s="791"/>
      <c r="G38" s="791"/>
      <c r="H38" s="791"/>
      <c r="I38" s="791"/>
      <c r="J38" s="791"/>
      <c r="K38" s="791"/>
      <c r="L38" s="398"/>
      <c r="M38" s="398"/>
      <c r="N38" s="398"/>
      <c r="O38" s="398"/>
      <c r="P38" s="398"/>
      <c r="Q38" s="398"/>
      <c r="R38" s="398"/>
      <c r="S38" s="398"/>
      <c r="T38" s="398"/>
      <c r="U38" s="398"/>
      <c r="V38" s="398"/>
      <c r="W38" s="398"/>
      <c r="X38" s="398"/>
      <c r="Y38" s="398"/>
      <c r="Z38" s="398"/>
      <c r="AA38" s="398"/>
      <c r="AB38" s="398"/>
      <c r="AC38" s="398"/>
      <c r="AD38" s="398"/>
      <c r="AE38" s="398"/>
      <c r="AF38" s="398"/>
      <c r="AG38" s="398"/>
      <c r="AH38" s="398"/>
      <c r="AI38" s="398"/>
      <c r="AJ38" s="398"/>
      <c r="AK38" s="398"/>
      <c r="AL38" s="398"/>
      <c r="AM38" s="398"/>
      <c r="AN38" s="398"/>
      <c r="AO38" s="398"/>
      <c r="AP38" s="398"/>
      <c r="AQ38" s="398"/>
      <c r="AR38" s="398"/>
      <c r="AS38" s="398"/>
      <c r="AT38" s="398"/>
      <c r="AU38" s="398"/>
    </row>
    <row r="39" spans="1:47" s="32" customFormat="1" ht="12.75" customHeight="1">
      <c r="A39" s="6"/>
      <c r="B39" s="398"/>
      <c r="C39" s="398"/>
      <c r="D39" s="398"/>
      <c r="E39" s="398"/>
      <c r="F39" s="835" t="s">
        <v>639</v>
      </c>
      <c r="G39" s="783"/>
      <c r="H39" s="841"/>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398"/>
      <c r="AK39" s="398"/>
      <c r="AL39" s="398"/>
      <c r="AM39" s="398"/>
      <c r="AN39" s="398"/>
      <c r="AO39" s="398"/>
      <c r="AP39" s="398"/>
      <c r="AQ39" s="398"/>
      <c r="AR39" s="398"/>
      <c r="AS39" s="398"/>
      <c r="AT39" s="398"/>
      <c r="AU39" s="398"/>
    </row>
    <row r="40" spans="1:47">
      <c r="A40" s="398"/>
      <c r="B40" s="398"/>
      <c r="C40" s="398"/>
      <c r="D40" s="398"/>
      <c r="E40" s="398"/>
      <c r="F40" s="694" t="str">
        <f>F6</f>
        <v>As-Is</v>
      </c>
      <c r="G40" s="680" t="str">
        <f>G6</f>
        <v>To-Be</v>
      </c>
      <c r="H40" s="671" t="s">
        <v>703</v>
      </c>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398"/>
      <c r="AK40" s="398"/>
      <c r="AL40" s="398"/>
      <c r="AM40" s="398"/>
      <c r="AN40" s="398"/>
      <c r="AO40" s="398"/>
      <c r="AP40" s="398"/>
      <c r="AQ40" s="398"/>
      <c r="AR40" s="398"/>
      <c r="AS40" s="398"/>
      <c r="AT40" s="398"/>
      <c r="AU40" s="398"/>
    </row>
    <row r="41" spans="1:47" ht="12.75" customHeight="1">
      <c r="A41" s="398"/>
      <c r="B41" s="864" t="str">
        <f>A7</f>
        <v>Sales/Marketing Performance</v>
      </c>
      <c r="C41" s="864"/>
      <c r="D41" s="864"/>
      <c r="E41" s="864"/>
      <c r="F41" s="154">
        <f>AVERAGE(F8:F11)</f>
        <v>0.3</v>
      </c>
      <c r="G41" s="154">
        <f>AVERAGE(G8:G11)</f>
        <v>0.3</v>
      </c>
      <c r="H41" s="141">
        <f>G41-F41</f>
        <v>0</v>
      </c>
      <c r="I41" s="398"/>
      <c r="J41" s="398"/>
      <c r="K41" s="398"/>
      <c r="L41" s="398"/>
      <c r="M41" s="398"/>
      <c r="N41" s="398"/>
      <c r="O41" s="398"/>
      <c r="P41" s="398"/>
      <c r="Q41" s="398"/>
      <c r="R41" s="398"/>
      <c r="S41" s="398"/>
      <c r="T41" s="398"/>
      <c r="U41" s="398"/>
      <c r="V41" s="398"/>
      <c r="W41" s="398"/>
      <c r="X41" s="398"/>
      <c r="Y41" s="398"/>
      <c r="Z41" s="398"/>
      <c r="AA41" s="398"/>
      <c r="AB41" s="398"/>
      <c r="AC41" s="398"/>
      <c r="AD41" s="398"/>
      <c r="AE41" s="398"/>
      <c r="AF41" s="398"/>
      <c r="AG41" s="398"/>
      <c r="AH41" s="398"/>
      <c r="AI41" s="398"/>
      <c r="AJ41" s="398"/>
      <c r="AK41" s="398"/>
      <c r="AL41" s="398"/>
      <c r="AM41" s="398"/>
      <c r="AN41" s="398"/>
      <c r="AO41" s="398"/>
      <c r="AP41" s="398"/>
      <c r="AQ41" s="398"/>
      <c r="AR41" s="398"/>
      <c r="AS41" s="398"/>
      <c r="AT41" s="398"/>
      <c r="AU41" s="398"/>
    </row>
    <row r="42" spans="1:47" s="21" customFormat="1" ht="12.75" customHeight="1">
      <c r="A42" s="398"/>
      <c r="B42" s="864" t="str">
        <f>A12</f>
        <v>Business Management Effectiveness</v>
      </c>
      <c r="C42" s="864"/>
      <c r="D42" s="864"/>
      <c r="E42" s="864"/>
      <c r="F42" s="154">
        <f>AVERAGE(F13:F19)</f>
        <v>0.3</v>
      </c>
      <c r="G42" s="154">
        <f>AVERAGE(G13:G19)</f>
        <v>0.3</v>
      </c>
      <c r="H42" s="154">
        <f>G42-F42</f>
        <v>0</v>
      </c>
      <c r="I42" s="398"/>
      <c r="J42" s="398"/>
      <c r="K42" s="398"/>
      <c r="L42" s="398"/>
      <c r="M42" s="398"/>
      <c r="N42" s="398"/>
      <c r="O42" s="398"/>
      <c r="P42" s="398"/>
      <c r="Q42" s="398"/>
      <c r="R42" s="398"/>
      <c r="S42" s="398"/>
      <c r="T42" s="398"/>
      <c r="U42" s="398"/>
      <c r="V42" s="398"/>
      <c r="W42" s="398"/>
      <c r="X42" s="398"/>
      <c r="Y42" s="398"/>
      <c r="Z42" s="398"/>
      <c r="AA42" s="398"/>
      <c r="AB42" s="398"/>
      <c r="AC42" s="398"/>
      <c r="AD42" s="398"/>
      <c r="AE42" s="398"/>
      <c r="AF42" s="398"/>
      <c r="AG42" s="398"/>
      <c r="AH42" s="398"/>
      <c r="AI42" s="398"/>
      <c r="AJ42" s="398"/>
      <c r="AK42" s="398"/>
      <c r="AL42" s="398"/>
      <c r="AM42" s="398"/>
      <c r="AN42" s="398"/>
      <c r="AO42" s="398"/>
      <c r="AP42" s="398"/>
      <c r="AQ42" s="398"/>
      <c r="AR42" s="398"/>
      <c r="AS42" s="398"/>
      <c r="AT42" s="398"/>
      <c r="AU42" s="398"/>
    </row>
    <row r="43" spans="1:47" s="21" customFormat="1" ht="12.75" customHeight="1">
      <c r="A43" s="398"/>
      <c r="B43" s="864" t="str">
        <f>A20</f>
        <v>Supply/Operations Performance</v>
      </c>
      <c r="C43" s="864"/>
      <c r="D43" s="864"/>
      <c r="E43" s="864"/>
      <c r="F43" s="154">
        <f>AVERAGE(F21:F27)</f>
        <v>0.3</v>
      </c>
      <c r="G43" s="154">
        <f>AVERAGE(G21:G27)</f>
        <v>0.3</v>
      </c>
      <c r="H43" s="154">
        <f>G43-F43</f>
        <v>0</v>
      </c>
      <c r="I43" s="398"/>
      <c r="J43" s="398"/>
      <c r="K43" s="398"/>
      <c r="L43" s="398"/>
      <c r="M43" s="398"/>
      <c r="N43" s="398"/>
      <c r="O43" s="398"/>
      <c r="P43" s="398"/>
      <c r="Q43" s="398"/>
      <c r="R43" s="398"/>
      <c r="S43" s="398"/>
      <c r="T43" s="398"/>
      <c r="U43" s="398"/>
      <c r="V43" s="398"/>
      <c r="W43" s="398"/>
      <c r="X43" s="398"/>
      <c r="Y43" s="398"/>
      <c r="Z43" s="398"/>
      <c r="AA43" s="398"/>
      <c r="AB43" s="398"/>
      <c r="AC43" s="398"/>
      <c r="AD43" s="398"/>
      <c r="AE43" s="398"/>
      <c r="AF43" s="398"/>
      <c r="AG43" s="398"/>
      <c r="AH43" s="398"/>
      <c r="AI43" s="398"/>
      <c r="AJ43" s="398"/>
      <c r="AK43" s="398"/>
      <c r="AL43" s="398"/>
      <c r="AM43" s="398"/>
      <c r="AN43" s="398"/>
      <c r="AO43" s="398"/>
      <c r="AP43" s="398"/>
      <c r="AQ43" s="398"/>
      <c r="AR43" s="398"/>
      <c r="AS43" s="398"/>
      <c r="AT43" s="398"/>
      <c r="AU43" s="398"/>
    </row>
    <row r="44" spans="1:47" s="21" customFormat="1" ht="13.5" thickBot="1">
      <c r="A44" s="398"/>
      <c r="B44" s="867" t="str">
        <f>A28</f>
        <v>Technology Effectiveness</v>
      </c>
      <c r="C44" s="864"/>
      <c r="D44" s="864"/>
      <c r="E44" s="864"/>
      <c r="F44" s="154">
        <f>AVERAGE(F29:F35)</f>
        <v>0.3</v>
      </c>
      <c r="G44" s="154">
        <f>AVERAGE(G29:G35)</f>
        <v>0.36149999999999999</v>
      </c>
      <c r="H44" s="154">
        <f>G44-F44</f>
        <v>6.1499999999999999E-2</v>
      </c>
      <c r="I44" s="398"/>
      <c r="J44" s="398"/>
      <c r="K44" s="398"/>
      <c r="L44" s="398"/>
      <c r="M44" s="398"/>
      <c r="N44" s="398"/>
      <c r="O44" s="398"/>
      <c r="P44" s="398"/>
      <c r="Q44" s="398"/>
      <c r="R44" s="398"/>
      <c r="S44" s="398"/>
      <c r="T44" s="398"/>
      <c r="U44" s="398"/>
      <c r="V44" s="398"/>
      <c r="W44" s="398"/>
      <c r="X44" s="398"/>
      <c r="Y44" s="398"/>
      <c r="Z44" s="398"/>
      <c r="AA44" s="398"/>
      <c r="AB44" s="398"/>
      <c r="AC44" s="398"/>
      <c r="AD44" s="398"/>
      <c r="AE44" s="398"/>
      <c r="AF44" s="398"/>
      <c r="AG44" s="398"/>
      <c r="AH44" s="398"/>
      <c r="AI44" s="398"/>
      <c r="AJ44" s="398"/>
      <c r="AK44" s="398"/>
      <c r="AL44" s="398"/>
      <c r="AM44" s="398"/>
      <c r="AN44" s="398"/>
      <c r="AO44" s="398"/>
      <c r="AP44" s="398"/>
      <c r="AQ44" s="398"/>
      <c r="AR44" s="398"/>
      <c r="AS44" s="398"/>
      <c r="AT44" s="398"/>
      <c r="AU44" s="398"/>
    </row>
    <row r="45" spans="1:47" s="21" customFormat="1" ht="13.5" thickTop="1">
      <c r="A45" s="398"/>
      <c r="B45" s="871" t="s">
        <v>704</v>
      </c>
      <c r="C45" s="872"/>
      <c r="D45" s="871"/>
      <c r="E45" s="871"/>
      <c r="F45" s="179">
        <f>AVERAGE(F41:F44)</f>
        <v>0.3</v>
      </c>
      <c r="G45" s="179">
        <f>AVERAGE(G41:G44)</f>
        <v>0.31537499999999996</v>
      </c>
      <c r="H45" s="179">
        <f>AVERAGE(H41:H44)</f>
        <v>1.5375E-2</v>
      </c>
      <c r="I45" s="398"/>
      <c r="J45" s="398"/>
      <c r="K45" s="398"/>
      <c r="L45" s="398"/>
      <c r="M45" s="180" t="s">
        <v>232</v>
      </c>
      <c r="N45" s="398"/>
      <c r="O45" s="398"/>
      <c r="P45" s="398"/>
      <c r="Q45" s="398"/>
      <c r="R45" s="398"/>
      <c r="S45" s="398"/>
      <c r="T45" s="398"/>
      <c r="U45" s="398"/>
      <c r="V45" s="398"/>
      <c r="W45" s="398"/>
      <c r="X45" s="398"/>
      <c r="Y45" s="398"/>
      <c r="Z45" s="398"/>
      <c r="AA45" s="398"/>
      <c r="AB45" s="398"/>
      <c r="AC45" s="398"/>
      <c r="AD45" s="398"/>
      <c r="AE45" s="398"/>
      <c r="AF45" s="398"/>
      <c r="AG45" s="398"/>
      <c r="AH45" s="398"/>
      <c r="AI45" s="398"/>
      <c r="AJ45" s="398"/>
      <c r="AK45" s="398"/>
      <c r="AL45" s="398"/>
      <c r="AM45" s="398"/>
      <c r="AN45" s="398"/>
      <c r="AO45" s="398"/>
      <c r="AP45" s="398"/>
      <c r="AQ45" s="398"/>
      <c r="AR45" s="398"/>
      <c r="AS45" s="398"/>
      <c r="AT45" s="398"/>
      <c r="AU45" s="398"/>
    </row>
    <row r="46" spans="1:47">
      <c r="A46" s="398"/>
      <c r="B46" s="398"/>
      <c r="C46" s="398"/>
      <c r="D46" s="398"/>
      <c r="E46" s="398"/>
      <c r="F46" s="398"/>
      <c r="G46" s="398"/>
      <c r="H46" s="398"/>
      <c r="I46" s="398"/>
      <c r="J46" s="398"/>
      <c r="K46" s="398"/>
      <c r="L46" s="398"/>
      <c r="M46" s="100" t="s">
        <v>10</v>
      </c>
      <c r="N46" s="210" t="s">
        <v>705</v>
      </c>
      <c r="O46" s="398"/>
      <c r="P46" s="398"/>
      <c r="Q46" s="398"/>
      <c r="R46" s="398"/>
      <c r="S46" s="398"/>
      <c r="T46" s="398"/>
      <c r="U46" s="398"/>
      <c r="V46" s="398"/>
      <c r="W46" s="398"/>
      <c r="X46" s="398"/>
      <c r="Y46" s="398"/>
      <c r="Z46" s="398"/>
      <c r="AA46" s="398"/>
      <c r="AB46" s="398"/>
      <c r="AC46" s="398"/>
      <c r="AD46" s="398"/>
      <c r="AE46" s="398"/>
      <c r="AF46" s="398"/>
      <c r="AG46" s="398"/>
      <c r="AH46" s="398"/>
      <c r="AI46" s="398"/>
      <c r="AJ46" s="398"/>
      <c r="AK46" s="398"/>
      <c r="AL46" s="398"/>
      <c r="AM46" s="398"/>
      <c r="AN46" s="398"/>
      <c r="AO46" s="398"/>
      <c r="AP46" s="398"/>
      <c r="AQ46" s="398"/>
      <c r="AR46" s="398"/>
      <c r="AS46" s="398"/>
      <c r="AT46" s="398"/>
      <c r="AU46" s="398"/>
    </row>
    <row r="47" spans="1:47">
      <c r="A47" s="398"/>
      <c r="B47" s="398"/>
      <c r="C47" s="398"/>
      <c r="D47" s="398"/>
      <c r="E47" s="398"/>
      <c r="F47" s="398"/>
      <c r="G47" s="398"/>
      <c r="H47" s="398"/>
      <c r="I47" s="398"/>
      <c r="J47" s="398"/>
      <c r="K47" s="398"/>
      <c r="L47" s="398"/>
      <c r="M47" s="100" t="s">
        <v>235</v>
      </c>
      <c r="N47" s="181" t="s">
        <v>706</v>
      </c>
      <c r="O47" s="398"/>
      <c r="P47" s="398"/>
      <c r="Q47" s="398"/>
      <c r="R47" s="398"/>
      <c r="S47" s="398"/>
      <c r="T47" s="398"/>
      <c r="U47" s="398"/>
      <c r="V47" s="398"/>
      <c r="W47" s="398"/>
      <c r="X47" s="398"/>
      <c r="Y47" s="398"/>
      <c r="Z47" s="398"/>
      <c r="AA47" s="398"/>
      <c r="AB47" s="398"/>
      <c r="AC47" s="398"/>
      <c r="AD47" s="398"/>
      <c r="AE47" s="398"/>
      <c r="AF47" s="398"/>
      <c r="AG47" s="398"/>
      <c r="AH47" s="398"/>
      <c r="AI47" s="398"/>
      <c r="AJ47" s="398"/>
      <c r="AK47" s="398"/>
      <c r="AL47" s="398"/>
      <c r="AM47" s="398"/>
      <c r="AN47" s="398"/>
      <c r="AO47" s="398"/>
      <c r="AP47" s="398"/>
      <c r="AQ47" s="398"/>
      <c r="AR47" s="398"/>
      <c r="AS47" s="398"/>
      <c r="AT47" s="398"/>
      <c r="AU47" s="398"/>
    </row>
    <row r="48" spans="1:47">
      <c r="A48" s="398"/>
      <c r="B48" s="398"/>
      <c r="C48" s="398"/>
      <c r="D48" s="398"/>
      <c r="E48" s="398"/>
      <c r="F48" s="398"/>
      <c r="G48" s="398"/>
      <c r="H48" s="398"/>
      <c r="I48" s="398"/>
      <c r="J48" s="398"/>
      <c r="K48" s="398"/>
      <c r="L48" s="398"/>
      <c r="M48" s="100"/>
      <c r="N48" s="113"/>
      <c r="O48" s="398"/>
      <c r="P48" s="398"/>
      <c r="Q48" s="398"/>
      <c r="R48" s="398"/>
      <c r="S48" s="398"/>
      <c r="T48" s="398"/>
      <c r="U48" s="398"/>
      <c r="V48" s="398"/>
      <c r="W48" s="398"/>
      <c r="X48" s="398"/>
      <c r="Y48" s="398"/>
      <c r="Z48" s="398"/>
      <c r="AA48" s="398"/>
      <c r="AB48" s="398"/>
      <c r="AC48" s="398"/>
      <c r="AD48" s="398"/>
      <c r="AE48" s="398"/>
      <c r="AF48" s="398"/>
      <c r="AG48" s="398"/>
      <c r="AH48" s="398"/>
      <c r="AI48" s="398"/>
      <c r="AJ48" s="398"/>
      <c r="AK48" s="398"/>
      <c r="AL48" s="398"/>
      <c r="AM48" s="398"/>
      <c r="AN48" s="398"/>
      <c r="AO48" s="398"/>
      <c r="AP48" s="398"/>
      <c r="AQ48" s="398"/>
      <c r="AR48" s="398"/>
      <c r="AS48" s="398"/>
      <c r="AT48" s="398"/>
      <c r="AU48" s="398"/>
    </row>
    <row r="49" spans="1:47">
      <c r="A49" s="398"/>
      <c r="B49" s="398"/>
      <c r="C49" s="398"/>
      <c r="D49" s="398"/>
      <c r="E49" s="398"/>
      <c r="F49" s="398"/>
      <c r="G49" s="398"/>
      <c r="H49" s="398"/>
      <c r="I49" s="398"/>
      <c r="J49" s="398"/>
      <c r="K49" s="398"/>
      <c r="L49" s="398"/>
      <c r="M49" s="100" t="s">
        <v>239</v>
      </c>
      <c r="N49" s="181"/>
      <c r="O49" s="398"/>
      <c r="P49" s="398"/>
      <c r="Q49" s="398"/>
      <c r="R49" s="398"/>
      <c r="S49" s="398"/>
      <c r="T49" s="398"/>
      <c r="U49" s="398"/>
      <c r="V49" s="398"/>
      <c r="W49" s="398"/>
      <c r="X49" s="398"/>
      <c r="Y49" s="398"/>
      <c r="Z49" s="398"/>
      <c r="AA49" s="398"/>
      <c r="AB49" s="398"/>
      <c r="AC49" s="398"/>
      <c r="AD49" s="398"/>
      <c r="AE49" s="398"/>
      <c r="AF49" s="398"/>
      <c r="AG49" s="398"/>
      <c r="AH49" s="398"/>
      <c r="AI49" s="398"/>
      <c r="AJ49" s="398"/>
      <c r="AK49" s="398"/>
      <c r="AL49" s="398"/>
      <c r="AM49" s="398"/>
      <c r="AN49" s="398"/>
      <c r="AO49" s="398"/>
      <c r="AP49" s="398"/>
      <c r="AQ49" s="398"/>
      <c r="AR49" s="398"/>
      <c r="AS49" s="398"/>
      <c r="AT49" s="398"/>
      <c r="AU49" s="398"/>
    </row>
    <row r="50" spans="1:47">
      <c r="A50" s="398"/>
      <c r="B50" s="398"/>
      <c r="C50" s="398"/>
      <c r="D50" s="398"/>
      <c r="E50" s="398"/>
      <c r="F50" s="398"/>
      <c r="G50" s="398"/>
      <c r="H50" s="398"/>
      <c r="I50" s="398"/>
      <c r="J50" s="398"/>
      <c r="K50" s="398"/>
      <c r="L50" s="398"/>
      <c r="M50" s="100" t="s">
        <v>707</v>
      </c>
      <c r="N50" s="270" t="s">
        <v>644</v>
      </c>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8"/>
      <c r="AL50" s="398"/>
      <c r="AM50" s="398"/>
      <c r="AN50" s="398"/>
      <c r="AO50" s="398"/>
      <c r="AP50" s="398"/>
      <c r="AQ50" s="398"/>
      <c r="AR50" s="398"/>
      <c r="AS50" s="398"/>
      <c r="AT50" s="398"/>
      <c r="AU50" s="398"/>
    </row>
    <row r="51" spans="1:47">
      <c r="A51" s="398"/>
      <c r="B51" s="398"/>
      <c r="C51" s="398"/>
      <c r="D51" s="398"/>
      <c r="E51" s="398"/>
      <c r="F51" s="398"/>
      <c r="G51" s="398"/>
      <c r="H51" s="398"/>
      <c r="I51" s="398"/>
      <c r="J51" s="398"/>
      <c r="K51" s="398"/>
      <c r="L51" s="398"/>
      <c r="M51" s="100" t="s">
        <v>708</v>
      </c>
      <c r="N51" s="101" t="s">
        <v>708</v>
      </c>
      <c r="O51" s="398"/>
      <c r="P51" s="398"/>
      <c r="Q51" s="398"/>
      <c r="R51" s="398"/>
      <c r="S51" s="398"/>
      <c r="T51" s="398"/>
      <c r="U51" s="398"/>
      <c r="V51" s="398"/>
      <c r="W51" s="398"/>
      <c r="X51" s="398"/>
      <c r="Y51" s="398"/>
      <c r="Z51" s="398"/>
      <c r="AA51" s="398"/>
      <c r="AB51" s="398"/>
      <c r="AC51" s="398"/>
      <c r="AD51" s="398"/>
      <c r="AE51" s="398"/>
      <c r="AF51" s="398"/>
      <c r="AG51" s="398"/>
      <c r="AH51" s="398"/>
      <c r="AI51" s="398"/>
      <c r="AJ51" s="398"/>
      <c r="AK51" s="398"/>
      <c r="AL51" s="398"/>
      <c r="AM51" s="398"/>
      <c r="AN51" s="398"/>
      <c r="AO51" s="398"/>
      <c r="AP51" s="398"/>
      <c r="AQ51" s="398"/>
      <c r="AR51" s="398"/>
      <c r="AS51" s="398"/>
      <c r="AT51" s="398"/>
      <c r="AU51" s="398"/>
    </row>
    <row r="52" spans="1:47">
      <c r="A52" s="398"/>
      <c r="B52" s="398"/>
      <c r="C52" s="398"/>
      <c r="D52" s="398"/>
      <c r="E52" s="398"/>
      <c r="F52" s="398"/>
      <c r="G52" s="398"/>
      <c r="H52" s="398"/>
      <c r="I52" s="398"/>
      <c r="J52" s="398"/>
      <c r="K52" s="398"/>
      <c r="L52" s="398"/>
      <c r="M52" s="398"/>
      <c r="N52" s="398"/>
      <c r="O52" s="398"/>
      <c r="P52" s="398"/>
      <c r="Q52" s="398"/>
      <c r="R52" s="398"/>
      <c r="S52" s="398"/>
      <c r="T52" s="398"/>
      <c r="U52" s="398"/>
      <c r="V52" s="398"/>
      <c r="W52" s="398"/>
      <c r="X52" s="398"/>
      <c r="Y52" s="398"/>
      <c r="Z52" s="398"/>
      <c r="AA52" s="398"/>
      <c r="AB52" s="398"/>
      <c r="AC52" s="398"/>
      <c r="AD52" s="398"/>
      <c r="AE52" s="398"/>
      <c r="AF52" s="398"/>
      <c r="AG52" s="398"/>
      <c r="AH52" s="398"/>
      <c r="AI52" s="398"/>
      <c r="AJ52" s="398"/>
      <c r="AK52" s="398"/>
      <c r="AL52" s="398"/>
      <c r="AM52" s="398"/>
      <c r="AN52" s="398"/>
      <c r="AO52" s="398"/>
      <c r="AP52" s="398"/>
      <c r="AQ52" s="398"/>
      <c r="AR52" s="398"/>
      <c r="AS52" s="398"/>
      <c r="AT52" s="398"/>
      <c r="AU52" s="398"/>
    </row>
    <row r="53" spans="1:47">
      <c r="A53" s="398"/>
      <c r="B53" s="398"/>
      <c r="C53" s="398"/>
      <c r="D53" s="398"/>
      <c r="E53" s="398"/>
      <c r="F53" s="398"/>
      <c r="G53" s="398"/>
      <c r="H53" s="398"/>
      <c r="I53" s="398"/>
      <c r="J53" s="398"/>
      <c r="K53" s="398"/>
      <c r="L53" s="398"/>
      <c r="M53" s="398"/>
      <c r="N53" s="398"/>
      <c r="O53" s="398"/>
      <c r="P53" s="398"/>
      <c r="Q53" s="398"/>
      <c r="R53" s="398"/>
      <c r="S53" s="398"/>
      <c r="T53" s="398"/>
      <c r="U53" s="398"/>
      <c r="V53" s="398"/>
      <c r="W53" s="398"/>
      <c r="X53" s="398"/>
      <c r="Y53" s="398"/>
      <c r="Z53" s="398"/>
      <c r="AA53" s="398"/>
      <c r="AB53" s="398"/>
      <c r="AC53" s="398"/>
      <c r="AD53" s="398"/>
      <c r="AE53" s="398"/>
      <c r="AF53" s="398"/>
      <c r="AG53" s="398"/>
      <c r="AH53" s="398"/>
      <c r="AI53" s="398"/>
      <c r="AJ53" s="398"/>
      <c r="AK53" s="398"/>
      <c r="AL53" s="398"/>
      <c r="AM53" s="398"/>
      <c r="AN53" s="398"/>
      <c r="AO53" s="398"/>
      <c r="AP53" s="398"/>
      <c r="AQ53" s="398"/>
      <c r="AR53" s="398"/>
      <c r="AS53" s="398"/>
      <c r="AT53" s="398"/>
      <c r="AU53" s="398"/>
    </row>
    <row r="54" spans="1:47">
      <c r="A54" s="398"/>
      <c r="B54" s="398"/>
      <c r="C54" s="398"/>
      <c r="D54" s="398"/>
      <c r="E54" s="398"/>
      <c r="F54" s="398"/>
      <c r="G54" s="398"/>
      <c r="H54" s="398"/>
      <c r="I54" s="398"/>
      <c r="J54" s="398"/>
      <c r="K54" s="398"/>
      <c r="L54" s="398"/>
      <c r="M54" s="398"/>
      <c r="N54" s="398"/>
      <c r="O54" s="398"/>
      <c r="P54" s="398"/>
      <c r="Q54" s="398"/>
      <c r="R54" s="398"/>
      <c r="S54" s="398"/>
      <c r="T54" s="398"/>
      <c r="U54" s="398"/>
      <c r="V54" s="398"/>
      <c r="W54" s="398"/>
      <c r="X54" s="398"/>
      <c r="Y54" s="398"/>
      <c r="Z54" s="398"/>
      <c r="AA54" s="398"/>
      <c r="AB54" s="398"/>
      <c r="AC54" s="398"/>
      <c r="AD54" s="398"/>
      <c r="AE54" s="398"/>
      <c r="AF54" s="398"/>
      <c r="AG54" s="398"/>
      <c r="AH54" s="398"/>
      <c r="AI54" s="398"/>
      <c r="AJ54" s="398"/>
      <c r="AK54" s="398"/>
      <c r="AL54" s="398"/>
      <c r="AM54" s="398"/>
      <c r="AN54" s="398"/>
      <c r="AO54" s="398"/>
      <c r="AP54" s="398"/>
      <c r="AQ54" s="398"/>
      <c r="AR54" s="398"/>
      <c r="AS54" s="398"/>
      <c r="AT54" s="398"/>
      <c r="AU54" s="398"/>
    </row>
    <row r="55" spans="1:47">
      <c r="A55" s="398"/>
      <c r="B55" s="398"/>
      <c r="C55" s="398"/>
      <c r="D55" s="398"/>
      <c r="E55" s="398"/>
      <c r="F55" s="398"/>
      <c r="G55" s="398"/>
      <c r="H55" s="398"/>
      <c r="I55" s="398"/>
      <c r="J55" s="398"/>
      <c r="K55" s="398"/>
      <c r="L55" s="398"/>
      <c r="M55" s="398"/>
      <c r="N55" s="398"/>
      <c r="O55" s="398"/>
      <c r="P55" s="398"/>
      <c r="Q55" s="398"/>
      <c r="R55" s="398"/>
      <c r="S55" s="398"/>
      <c r="T55" s="398"/>
      <c r="U55" s="398"/>
      <c r="V55" s="398"/>
      <c r="W55" s="398"/>
      <c r="X55" s="398"/>
      <c r="Y55" s="398"/>
      <c r="Z55" s="398"/>
      <c r="AA55" s="398"/>
      <c r="AB55" s="398"/>
      <c r="AC55" s="398"/>
      <c r="AD55" s="398"/>
      <c r="AE55" s="398"/>
      <c r="AF55" s="398"/>
      <c r="AG55" s="398"/>
      <c r="AH55" s="398"/>
      <c r="AI55" s="398"/>
      <c r="AJ55" s="398"/>
      <c r="AK55" s="398"/>
      <c r="AL55" s="398"/>
      <c r="AM55" s="398"/>
      <c r="AN55" s="398"/>
      <c r="AO55" s="398"/>
      <c r="AP55" s="398"/>
      <c r="AQ55" s="398"/>
      <c r="AR55" s="398"/>
      <c r="AS55" s="398"/>
      <c r="AT55" s="398"/>
      <c r="AU55" s="398"/>
    </row>
    <row r="56" spans="1:47">
      <c r="A56" s="398"/>
      <c r="B56" s="398"/>
      <c r="C56" s="398"/>
      <c r="D56" s="398"/>
      <c r="E56" s="398"/>
      <c r="F56" s="398"/>
      <c r="G56" s="398"/>
      <c r="H56" s="398"/>
      <c r="I56" s="398"/>
      <c r="J56" s="398"/>
      <c r="K56" s="398"/>
      <c r="L56" s="398"/>
      <c r="M56" s="398"/>
      <c r="N56" s="398"/>
      <c r="O56" s="398"/>
      <c r="P56" s="398"/>
      <c r="Q56" s="398"/>
      <c r="R56" s="398"/>
      <c r="S56" s="398"/>
      <c r="T56" s="398"/>
      <c r="U56" s="398"/>
      <c r="V56" s="398"/>
      <c r="W56" s="398"/>
      <c r="X56" s="398"/>
      <c r="Y56" s="398"/>
      <c r="Z56" s="398"/>
      <c r="AA56" s="398"/>
      <c r="AB56" s="398"/>
      <c r="AC56" s="398"/>
      <c r="AD56" s="398"/>
      <c r="AE56" s="398"/>
      <c r="AF56" s="398"/>
      <c r="AG56" s="398"/>
      <c r="AH56" s="398"/>
      <c r="AI56" s="398"/>
      <c r="AJ56" s="398"/>
      <c r="AK56" s="398"/>
      <c r="AL56" s="398"/>
      <c r="AM56" s="398"/>
      <c r="AN56" s="398"/>
      <c r="AO56" s="398"/>
      <c r="AP56" s="398"/>
      <c r="AQ56" s="398"/>
      <c r="AR56" s="398"/>
      <c r="AS56" s="398"/>
      <c r="AT56" s="398"/>
      <c r="AU56" s="398"/>
    </row>
    <row r="57" spans="1:47">
      <c r="A57" s="398"/>
      <c r="B57" s="398"/>
      <c r="C57" s="398"/>
      <c r="D57" s="398"/>
      <c r="E57" s="398"/>
      <c r="F57" s="398"/>
      <c r="G57" s="398"/>
      <c r="H57" s="398"/>
      <c r="I57" s="398"/>
      <c r="J57" s="398"/>
      <c r="K57" s="398"/>
      <c r="L57" s="398"/>
      <c r="M57" s="398"/>
      <c r="N57" s="398"/>
      <c r="O57" s="398"/>
      <c r="P57" s="398"/>
      <c r="Q57" s="398"/>
      <c r="R57" s="398"/>
      <c r="S57" s="398"/>
      <c r="T57" s="398"/>
      <c r="U57" s="398"/>
      <c r="V57" s="398"/>
      <c r="W57" s="398"/>
      <c r="X57" s="398"/>
      <c r="Y57" s="398"/>
      <c r="Z57" s="398"/>
      <c r="AA57" s="398"/>
      <c r="AB57" s="398"/>
      <c r="AC57" s="398"/>
      <c r="AD57" s="398"/>
      <c r="AE57" s="398"/>
      <c r="AF57" s="398"/>
      <c r="AG57" s="398"/>
      <c r="AH57" s="398"/>
      <c r="AI57" s="398"/>
      <c r="AJ57" s="398"/>
      <c r="AK57" s="398"/>
      <c r="AL57" s="398"/>
      <c r="AM57" s="398"/>
      <c r="AN57" s="398"/>
      <c r="AO57" s="398"/>
      <c r="AP57" s="398"/>
      <c r="AQ57" s="398"/>
      <c r="AR57" s="398"/>
      <c r="AS57" s="398"/>
      <c r="AT57" s="398"/>
      <c r="AU57" s="398"/>
    </row>
    <row r="58" spans="1:47">
      <c r="A58" s="398"/>
      <c r="B58" s="398"/>
      <c r="C58" s="398"/>
      <c r="D58" s="398"/>
      <c r="E58" s="398"/>
      <c r="F58" s="398"/>
      <c r="G58" s="398"/>
      <c r="H58" s="398"/>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398"/>
      <c r="AH58" s="398"/>
      <c r="AI58" s="398"/>
      <c r="AJ58" s="398"/>
      <c r="AK58" s="398"/>
      <c r="AL58" s="398"/>
      <c r="AM58" s="398"/>
      <c r="AN58" s="398"/>
      <c r="AO58" s="398"/>
      <c r="AP58" s="398"/>
      <c r="AQ58" s="398"/>
      <c r="AR58" s="398"/>
      <c r="AS58" s="398"/>
      <c r="AT58" s="398"/>
      <c r="AU58" s="398"/>
    </row>
    <row r="59" spans="1:47">
      <c r="A59" s="398"/>
      <c r="B59" s="398"/>
      <c r="C59" s="398"/>
      <c r="D59" s="398"/>
      <c r="E59" s="398"/>
      <c r="F59" s="398"/>
      <c r="G59" s="398"/>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row>
    <row r="60" spans="1:47">
      <c r="A60" s="398"/>
      <c r="B60" s="398"/>
      <c r="C60" s="398"/>
      <c r="D60" s="398"/>
      <c r="E60" s="398"/>
      <c r="F60" s="398"/>
      <c r="G60" s="398"/>
      <c r="H60" s="398"/>
      <c r="I60" s="398"/>
      <c r="J60" s="398"/>
      <c r="K60" s="398"/>
      <c r="L60" s="398"/>
      <c r="M60" s="398"/>
      <c r="N60" s="398"/>
      <c r="O60" s="398"/>
      <c r="P60" s="398"/>
      <c r="Q60" s="398"/>
      <c r="R60" s="398"/>
      <c r="S60" s="398"/>
      <c r="T60" s="398"/>
      <c r="U60" s="398"/>
      <c r="V60" s="398"/>
      <c r="W60" s="398"/>
      <c r="X60" s="398"/>
      <c r="Y60" s="398"/>
      <c r="Z60" s="398"/>
      <c r="AA60" s="398"/>
      <c r="AB60" s="398"/>
      <c r="AC60" s="398"/>
      <c r="AD60" s="398"/>
      <c r="AE60" s="398"/>
      <c r="AF60" s="398"/>
      <c r="AG60" s="398"/>
      <c r="AH60" s="398"/>
      <c r="AI60" s="398"/>
      <c r="AJ60" s="398"/>
      <c r="AK60" s="398"/>
      <c r="AL60" s="398"/>
      <c r="AM60" s="398"/>
      <c r="AN60" s="398"/>
      <c r="AO60" s="398"/>
      <c r="AP60" s="398"/>
      <c r="AQ60" s="398"/>
      <c r="AR60" s="398"/>
      <c r="AS60" s="398"/>
      <c r="AT60" s="398"/>
      <c r="AU60" s="398"/>
    </row>
    <row r="61" spans="1:47">
      <c r="A61" s="398"/>
      <c r="B61" s="398"/>
      <c r="C61" s="398"/>
      <c r="D61" s="398"/>
      <c r="E61" s="398"/>
      <c r="F61" s="398"/>
      <c r="G61" s="398"/>
      <c r="H61" s="398"/>
      <c r="I61" s="398"/>
      <c r="J61" s="398"/>
      <c r="K61" s="398"/>
      <c r="L61" s="398"/>
      <c r="M61" s="398"/>
      <c r="N61" s="398"/>
      <c r="O61" s="398"/>
      <c r="P61" s="398"/>
      <c r="Q61" s="398"/>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8"/>
      <c r="AT61" s="398"/>
      <c r="AU61" s="398"/>
    </row>
    <row r="62" spans="1:47">
      <c r="A62" s="398"/>
      <c r="B62" s="398"/>
      <c r="C62" s="398"/>
      <c r="D62" s="398"/>
      <c r="E62" s="398"/>
      <c r="F62" s="398"/>
      <c r="G62" s="398"/>
      <c r="H62" s="398"/>
      <c r="I62" s="398"/>
      <c r="J62" s="398"/>
      <c r="K62" s="398"/>
      <c r="L62" s="398"/>
      <c r="M62" s="398"/>
      <c r="N62" s="398"/>
      <c r="O62" s="398"/>
      <c r="P62" s="398"/>
      <c r="Q62" s="398"/>
      <c r="R62" s="398"/>
      <c r="S62" s="398"/>
      <c r="T62" s="398"/>
      <c r="U62" s="398"/>
      <c r="V62" s="398"/>
      <c r="W62" s="398"/>
      <c r="X62" s="398"/>
      <c r="Y62" s="398"/>
      <c r="Z62" s="398"/>
      <c r="AA62" s="398"/>
      <c r="AB62" s="398"/>
      <c r="AC62" s="398"/>
      <c r="AD62" s="398"/>
      <c r="AE62" s="398"/>
      <c r="AF62" s="398"/>
      <c r="AG62" s="398"/>
      <c r="AH62" s="398"/>
      <c r="AI62" s="398"/>
      <c r="AJ62" s="398"/>
      <c r="AK62" s="398"/>
      <c r="AL62" s="398"/>
      <c r="AM62" s="398"/>
      <c r="AN62" s="398"/>
      <c r="AO62" s="398"/>
      <c r="AP62" s="398"/>
      <c r="AQ62" s="398"/>
      <c r="AR62" s="398"/>
      <c r="AS62" s="398"/>
      <c r="AT62" s="398"/>
      <c r="AU62" s="398"/>
    </row>
    <row r="63" spans="1:47">
      <c r="A63" s="398"/>
      <c r="B63" s="398"/>
      <c r="C63" s="398"/>
      <c r="D63" s="398"/>
      <c r="E63" s="398"/>
      <c r="F63" s="398"/>
      <c r="G63" s="398"/>
      <c r="H63" s="398"/>
      <c r="I63" s="398"/>
      <c r="J63" s="398"/>
      <c r="K63" s="398"/>
      <c r="L63" s="398"/>
      <c r="M63" s="398"/>
      <c r="N63" s="398"/>
      <c r="O63" s="398"/>
      <c r="P63" s="398"/>
      <c r="Q63" s="398"/>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row>
    <row r="64" spans="1:47">
      <c r="A64" s="398"/>
      <c r="B64" s="398"/>
      <c r="C64" s="398"/>
      <c r="D64" s="398"/>
      <c r="E64" s="398"/>
      <c r="F64" s="398"/>
      <c r="G64" s="398"/>
      <c r="H64" s="398"/>
      <c r="I64" s="398"/>
      <c r="J64" s="398"/>
      <c r="K64" s="398"/>
      <c r="L64" s="398"/>
      <c r="M64" s="398"/>
      <c r="N64" s="398"/>
      <c r="O64" s="398"/>
      <c r="P64" s="398"/>
      <c r="Q64" s="398"/>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row>
    <row r="65" spans="1:47">
      <c r="A65" s="398"/>
      <c r="B65" s="398"/>
      <c r="C65" s="398"/>
      <c r="D65" s="398"/>
      <c r="E65" s="398"/>
      <c r="F65" s="398"/>
      <c r="G65" s="398"/>
      <c r="H65" s="398"/>
      <c r="I65" s="398"/>
      <c r="J65" s="398"/>
      <c r="K65" s="398"/>
      <c r="L65" s="398"/>
      <c r="M65" s="398"/>
      <c r="N65" s="398"/>
      <c r="O65" s="398"/>
      <c r="P65" s="398"/>
      <c r="Q65" s="398"/>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row>
    <row r="66" spans="1:47">
      <c r="A66" s="398"/>
      <c r="B66" s="398"/>
      <c r="C66" s="398"/>
      <c r="D66" s="398"/>
      <c r="E66" s="398"/>
      <c r="F66" s="398"/>
      <c r="G66" s="398"/>
      <c r="H66" s="398"/>
      <c r="I66" s="398"/>
      <c r="J66" s="398"/>
      <c r="K66" s="398"/>
      <c r="L66" s="398"/>
      <c r="M66" s="398"/>
      <c r="N66" s="398"/>
      <c r="O66" s="398"/>
      <c r="P66" s="398"/>
      <c r="Q66" s="398"/>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c r="AQ66" s="398"/>
      <c r="AR66" s="398"/>
      <c r="AS66" s="398"/>
      <c r="AT66" s="398"/>
      <c r="AU66" s="398"/>
    </row>
    <row r="67" spans="1:47">
      <c r="A67" s="398"/>
      <c r="B67" s="398"/>
      <c r="C67" s="398"/>
      <c r="D67" s="398"/>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row>
    <row r="68" spans="1:47" ht="14.25">
      <c r="A68" s="8" t="s">
        <v>709</v>
      </c>
      <c r="B68" s="182"/>
      <c r="C68" s="398"/>
      <c r="D68" s="398"/>
      <c r="E68" s="398"/>
      <c r="F68" s="398"/>
      <c r="G68" s="398"/>
      <c r="H68" s="398"/>
      <c r="I68" s="398"/>
      <c r="J68" s="398"/>
      <c r="K68" s="398"/>
      <c r="L68" s="398"/>
      <c r="M68" s="398"/>
      <c r="N68" s="398"/>
      <c r="O68" s="398"/>
      <c r="P68" s="398"/>
      <c r="Q68" s="398"/>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row>
    <row r="69" spans="1:47" ht="13.5" thickBot="1">
      <c r="A69" s="398"/>
      <c r="B69" s="398"/>
      <c r="C69" s="398"/>
      <c r="D69" s="398"/>
      <c r="E69" s="398"/>
      <c r="F69" s="398"/>
      <c r="G69" s="398"/>
      <c r="H69" s="398"/>
      <c r="I69" s="398"/>
      <c r="J69" s="398"/>
      <c r="K69" s="398"/>
      <c r="L69" s="398"/>
      <c r="M69" s="398"/>
      <c r="N69" s="398"/>
      <c r="O69" s="398"/>
      <c r="P69" s="398"/>
      <c r="Q69" s="398"/>
      <c r="R69" s="398"/>
      <c r="S69" s="398"/>
      <c r="T69" s="398"/>
      <c r="U69" s="398"/>
      <c r="V69" s="398"/>
      <c r="W69" s="398"/>
      <c r="X69" s="398"/>
      <c r="Y69" s="398"/>
      <c r="Z69" s="398"/>
      <c r="AA69" s="398"/>
      <c r="AB69" s="398"/>
      <c r="AC69" s="398"/>
      <c r="AD69" s="398"/>
      <c r="AE69" s="398"/>
      <c r="AF69" s="398"/>
      <c r="AG69" s="398"/>
      <c r="AH69" s="398"/>
      <c r="AI69" s="398"/>
      <c r="AJ69" s="398"/>
      <c r="AK69" s="398"/>
      <c r="AL69" s="398"/>
      <c r="AM69" s="398"/>
      <c r="AN69" s="398"/>
      <c r="AO69" s="398"/>
      <c r="AP69" s="398"/>
      <c r="AQ69" s="398"/>
      <c r="AR69" s="398"/>
      <c r="AS69" s="398"/>
      <c r="AT69" s="398"/>
      <c r="AU69" s="398"/>
    </row>
    <row r="70" spans="1:47" ht="30" customHeight="1" thickBot="1">
      <c r="A70" s="398"/>
      <c r="B70" s="873" t="s">
        <v>710</v>
      </c>
      <c r="C70" s="874"/>
      <c r="D70" s="875"/>
      <c r="E70" s="792" t="s">
        <v>711</v>
      </c>
      <c r="F70" s="793"/>
      <c r="G70" s="793"/>
      <c r="H70" s="793"/>
      <c r="I70" s="794"/>
      <c r="J70" s="398"/>
      <c r="K70" s="398"/>
      <c r="L70" s="398"/>
      <c r="M70" s="398"/>
      <c r="N70" s="398"/>
      <c r="O70" s="398"/>
      <c r="P70" s="398"/>
      <c r="Q70" s="398"/>
      <c r="R70" s="398"/>
      <c r="S70" s="398"/>
      <c r="T70" s="398"/>
      <c r="U70" s="398"/>
      <c r="V70" s="795" t="s">
        <v>712</v>
      </c>
      <c r="W70" s="793"/>
      <c r="X70" s="793"/>
      <c r="Y70" s="793"/>
      <c r="Z70" s="793"/>
      <c r="AA70" s="794"/>
      <c r="AB70" s="398"/>
      <c r="AC70" s="398"/>
      <c r="AD70" s="398"/>
      <c r="AE70" s="398"/>
      <c r="AF70" s="398"/>
      <c r="AG70" s="398"/>
      <c r="AH70" s="398"/>
      <c r="AI70" s="398"/>
      <c r="AJ70" s="398"/>
      <c r="AK70" s="398"/>
      <c r="AL70" s="398"/>
      <c r="AM70" s="398"/>
      <c r="AN70" s="398"/>
      <c r="AO70" s="398"/>
      <c r="AP70" s="398"/>
      <c r="AQ70" s="398"/>
      <c r="AR70" s="398"/>
      <c r="AS70" s="398"/>
      <c r="AT70" s="398"/>
      <c r="AU70" s="398"/>
    </row>
    <row r="71" spans="1:47">
      <c r="A71" s="398"/>
      <c r="B71" s="398"/>
      <c r="C71" s="398"/>
      <c r="D71" s="398"/>
      <c r="E71" s="398"/>
      <c r="F71" s="398"/>
      <c r="G71" s="398"/>
      <c r="H71" s="398"/>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O71" s="398"/>
      <c r="AP71" s="398"/>
      <c r="AQ71" s="398"/>
      <c r="AR71" s="398"/>
      <c r="AS71" s="398"/>
      <c r="AT71" s="398"/>
      <c r="AU71" s="398"/>
    </row>
    <row r="72" spans="1:47">
      <c r="A72" s="398"/>
      <c r="B72" s="398"/>
      <c r="C72" s="398"/>
      <c r="D72" s="398"/>
      <c r="E72" s="398"/>
      <c r="F72" s="398"/>
      <c r="G72" s="398"/>
      <c r="H72" s="398"/>
      <c r="I72" s="398"/>
      <c r="J72" s="398"/>
      <c r="K72" s="398"/>
      <c r="L72" s="398"/>
      <c r="M72" s="398"/>
      <c r="N72" s="398"/>
      <c r="O72" s="398"/>
      <c r="P72" s="398"/>
      <c r="Q72" s="398"/>
      <c r="R72" s="398"/>
      <c r="S72" s="398"/>
      <c r="T72" s="398"/>
      <c r="U72" s="398"/>
      <c r="V72" s="398"/>
      <c r="W72" s="398"/>
      <c r="X72" s="398"/>
      <c r="Y72" s="398"/>
      <c r="Z72" s="398"/>
      <c r="AA72" s="398"/>
      <c r="AB72" s="398"/>
      <c r="AC72" s="398"/>
      <c r="AD72" s="398"/>
      <c r="AE72" s="398"/>
      <c r="AF72" s="398"/>
      <c r="AG72" s="398"/>
      <c r="AH72" s="398"/>
      <c r="AI72" s="398"/>
      <c r="AJ72" s="398"/>
      <c r="AK72" s="398"/>
      <c r="AL72" s="398"/>
      <c r="AM72" s="398"/>
      <c r="AN72" s="398"/>
      <c r="AO72" s="398"/>
      <c r="AP72" s="398"/>
      <c r="AQ72" s="398"/>
      <c r="AR72" s="398"/>
      <c r="AS72" s="398"/>
      <c r="AT72" s="398"/>
      <c r="AU72" s="398"/>
    </row>
    <row r="73" spans="1:47">
      <c r="A73" s="398"/>
      <c r="B73" s="398"/>
      <c r="C73" s="398"/>
      <c r="D73" s="398"/>
      <c r="E73" s="398"/>
      <c r="F73" s="398"/>
      <c r="G73" s="398"/>
      <c r="H73" s="398"/>
      <c r="I73" s="398"/>
      <c r="J73" s="398"/>
      <c r="K73" s="398"/>
      <c r="L73" s="398"/>
      <c r="M73" s="398"/>
      <c r="N73" s="398"/>
      <c r="O73" s="398"/>
      <c r="P73" s="398"/>
      <c r="Q73" s="398"/>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398"/>
      <c r="AQ73" s="398"/>
      <c r="AR73" s="398"/>
      <c r="AS73" s="398"/>
      <c r="AT73" s="398"/>
      <c r="AU73" s="398"/>
    </row>
    <row r="74" spans="1:47">
      <c r="A74" s="398"/>
      <c r="B74" s="398"/>
      <c r="C74" s="398"/>
      <c r="D74" s="398"/>
      <c r="E74" s="398"/>
      <c r="F74" s="398"/>
      <c r="G74" s="398"/>
      <c r="H74" s="398"/>
      <c r="I74" s="398"/>
      <c r="J74" s="398"/>
      <c r="K74" s="398"/>
      <c r="L74" s="398"/>
      <c r="M74" s="398"/>
      <c r="N74" s="398"/>
      <c r="O74" s="398"/>
      <c r="P74" s="398"/>
      <c r="Q74" s="398"/>
      <c r="R74" s="398"/>
      <c r="S74" s="398"/>
      <c r="T74" s="398"/>
      <c r="U74" s="398"/>
      <c r="V74" s="398"/>
      <c r="W74" s="398"/>
      <c r="X74" s="398"/>
      <c r="Y74" s="398"/>
      <c r="Z74" s="398"/>
      <c r="AA74" s="398"/>
      <c r="AB74" s="398"/>
      <c r="AC74" s="398"/>
      <c r="AD74" s="398"/>
      <c r="AE74" s="398"/>
      <c r="AF74" s="398"/>
      <c r="AG74" s="398"/>
      <c r="AH74" s="398"/>
      <c r="AI74" s="398"/>
      <c r="AJ74" s="398"/>
      <c r="AK74" s="398"/>
      <c r="AL74" s="398"/>
      <c r="AM74" s="398"/>
      <c r="AN74" s="398"/>
      <c r="AO74" s="398"/>
      <c r="AP74" s="398"/>
      <c r="AQ74" s="398"/>
      <c r="AR74" s="398"/>
      <c r="AS74" s="398"/>
      <c r="AT74" s="398"/>
      <c r="AU74" s="398"/>
    </row>
    <row r="75" spans="1:47">
      <c r="A75" s="398"/>
      <c r="B75" s="398"/>
      <c r="C75" s="398"/>
      <c r="D75" s="398"/>
      <c r="E75" s="398"/>
      <c r="F75" s="398"/>
      <c r="G75" s="398"/>
      <c r="H75" s="398"/>
      <c r="I75" s="398"/>
      <c r="J75" s="398"/>
      <c r="K75" s="398"/>
      <c r="L75" s="398"/>
      <c r="M75" s="180" t="s">
        <v>232</v>
      </c>
      <c r="N75" s="398"/>
      <c r="O75" s="398"/>
      <c r="P75" s="398"/>
      <c r="Q75" s="398"/>
      <c r="R75" s="398"/>
      <c r="S75" s="398"/>
      <c r="T75" s="398"/>
      <c r="U75" s="398"/>
      <c r="V75" s="398"/>
      <c r="W75" s="398"/>
      <c r="X75" s="398"/>
      <c r="Y75" s="398"/>
      <c r="Z75" s="398"/>
      <c r="AA75" s="398"/>
      <c r="AB75" s="398"/>
      <c r="AC75" s="398"/>
      <c r="AD75" s="398"/>
      <c r="AE75" s="398"/>
      <c r="AF75" s="398"/>
      <c r="AG75" s="398"/>
      <c r="AH75" s="398"/>
      <c r="AI75" s="398"/>
      <c r="AJ75" s="398"/>
      <c r="AK75" s="398"/>
      <c r="AL75" s="398"/>
      <c r="AM75" s="398"/>
      <c r="AN75" s="398"/>
      <c r="AO75" s="398"/>
      <c r="AP75" s="398"/>
      <c r="AQ75" s="398"/>
      <c r="AR75" s="398"/>
      <c r="AS75" s="398"/>
      <c r="AT75" s="398"/>
      <c r="AU75" s="398"/>
    </row>
    <row r="76" spans="1:47">
      <c r="A76" s="398"/>
      <c r="B76" s="398"/>
      <c r="C76" s="398"/>
      <c r="D76" s="398"/>
      <c r="E76" s="398"/>
      <c r="F76" s="398"/>
      <c r="G76" s="398"/>
      <c r="H76" s="398"/>
      <c r="I76" s="398"/>
      <c r="J76" s="398"/>
      <c r="K76" s="398"/>
      <c r="L76" s="398"/>
      <c r="M76" s="398"/>
      <c r="N76" s="398"/>
      <c r="O76" s="398"/>
      <c r="P76" s="398"/>
      <c r="Q76" s="398"/>
      <c r="R76" s="398"/>
      <c r="S76" s="398"/>
      <c r="T76" s="398"/>
      <c r="U76" s="398"/>
      <c r="V76" s="398"/>
      <c r="W76" s="398"/>
      <c r="X76" s="398"/>
      <c r="Y76" s="398"/>
      <c r="Z76" s="398"/>
      <c r="AA76" s="398"/>
      <c r="AB76" s="398"/>
      <c r="AC76" s="398"/>
      <c r="AD76" s="398"/>
      <c r="AE76" s="398"/>
      <c r="AF76" s="398"/>
      <c r="AG76" s="398"/>
      <c r="AH76" s="398"/>
      <c r="AI76" s="398"/>
      <c r="AJ76" s="398"/>
      <c r="AK76" s="398"/>
      <c r="AL76" s="398"/>
      <c r="AM76" s="398"/>
      <c r="AN76" s="398"/>
      <c r="AO76" s="398"/>
      <c r="AP76" s="398"/>
      <c r="AQ76" s="398"/>
      <c r="AR76" s="398"/>
      <c r="AS76" s="398"/>
      <c r="AT76" s="398"/>
      <c r="AU76" s="398"/>
    </row>
    <row r="77" spans="1:47">
      <c r="A77" s="398"/>
      <c r="B77" s="398"/>
      <c r="C77" s="398"/>
      <c r="D77" s="398"/>
      <c r="E77" s="398"/>
      <c r="F77" s="398"/>
      <c r="G77" s="398"/>
      <c r="H77" s="398"/>
      <c r="I77" s="398"/>
      <c r="J77" s="398"/>
      <c r="K77" s="398"/>
      <c r="L77" s="398"/>
      <c r="M77" s="398"/>
      <c r="N77" s="398"/>
      <c r="O77" s="398"/>
      <c r="P77" s="398"/>
      <c r="Q77" s="398"/>
      <c r="R77" s="398"/>
      <c r="S77" s="398"/>
      <c r="T77" s="398"/>
      <c r="U77" s="398"/>
      <c r="V77" s="398"/>
      <c r="W77" s="398"/>
      <c r="X77" s="398"/>
      <c r="Y77" s="398"/>
      <c r="Z77" s="398"/>
      <c r="AA77" s="398"/>
      <c r="AB77" s="398"/>
      <c r="AC77" s="398"/>
      <c r="AD77" s="398"/>
      <c r="AE77" s="398"/>
      <c r="AF77" s="398"/>
      <c r="AG77" s="398"/>
      <c r="AH77" s="398"/>
      <c r="AI77" s="398"/>
      <c r="AJ77" s="398"/>
      <c r="AK77" s="398"/>
      <c r="AL77" s="398"/>
      <c r="AM77" s="398"/>
      <c r="AN77" s="398"/>
      <c r="AO77" s="398"/>
      <c r="AP77" s="398"/>
      <c r="AQ77" s="398"/>
      <c r="AR77" s="398"/>
      <c r="AS77" s="398"/>
      <c r="AT77" s="398"/>
      <c r="AU77" s="398"/>
    </row>
    <row r="78" spans="1:47">
      <c r="A78" s="398"/>
      <c r="B78" s="398"/>
      <c r="C78" s="398"/>
      <c r="D78" s="398"/>
      <c r="E78" s="398"/>
      <c r="F78" s="398"/>
      <c r="G78" s="398"/>
      <c r="H78" s="398"/>
      <c r="I78" s="398"/>
      <c r="J78" s="398"/>
      <c r="K78" s="398"/>
      <c r="L78" s="398"/>
      <c r="M78" s="398"/>
      <c r="N78" s="398"/>
      <c r="O78" s="398"/>
      <c r="P78" s="398"/>
      <c r="Q78" s="398"/>
      <c r="R78" s="398"/>
      <c r="S78" s="398"/>
      <c r="T78" s="398"/>
      <c r="U78" s="398"/>
      <c r="V78" s="398"/>
      <c r="W78" s="398"/>
      <c r="X78" s="398"/>
      <c r="Y78" s="398"/>
      <c r="Z78" s="398"/>
      <c r="AA78" s="398"/>
      <c r="AB78" s="398"/>
      <c r="AC78" s="398"/>
      <c r="AD78" s="398"/>
      <c r="AE78" s="398"/>
      <c r="AF78" s="398"/>
      <c r="AG78" s="398"/>
      <c r="AH78" s="398"/>
      <c r="AI78" s="398"/>
      <c r="AJ78" s="398"/>
      <c r="AK78" s="398"/>
      <c r="AL78" s="398"/>
      <c r="AM78" s="398"/>
      <c r="AN78" s="398"/>
      <c r="AO78" s="398"/>
      <c r="AP78" s="398"/>
      <c r="AQ78" s="398"/>
      <c r="AR78" s="398"/>
      <c r="AS78" s="398"/>
      <c r="AT78" s="398"/>
      <c r="AU78" s="398"/>
    </row>
    <row r="79" spans="1:47">
      <c r="A79" s="398"/>
      <c r="B79" s="398"/>
      <c r="C79" s="398"/>
      <c r="D79" s="398"/>
      <c r="E79" s="398"/>
      <c r="F79" s="398"/>
      <c r="G79" s="398"/>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398"/>
      <c r="AL79" s="398"/>
      <c r="AM79" s="398"/>
      <c r="AN79" s="398"/>
      <c r="AO79" s="398"/>
      <c r="AP79" s="398"/>
      <c r="AQ79" s="398"/>
      <c r="AR79" s="398"/>
      <c r="AS79" s="398"/>
      <c r="AT79" s="398"/>
      <c r="AU79" s="398"/>
    </row>
    <row r="80" spans="1:47">
      <c r="A80" s="398"/>
      <c r="B80" s="398"/>
      <c r="C80" s="398"/>
      <c r="D80" s="398"/>
      <c r="E80" s="398"/>
      <c r="F80" s="398"/>
      <c r="G80" s="398"/>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398"/>
      <c r="AL80" s="398"/>
      <c r="AM80" s="398"/>
      <c r="AN80" s="398"/>
      <c r="AO80" s="398"/>
      <c r="AP80" s="398"/>
      <c r="AQ80" s="398"/>
      <c r="AR80" s="398"/>
      <c r="AS80" s="398"/>
      <c r="AT80" s="398"/>
      <c r="AU80" s="398"/>
    </row>
    <row r="81" spans="1:47">
      <c r="A81" s="398"/>
      <c r="B81" s="398"/>
      <c r="C81" s="398"/>
      <c r="D81" s="398"/>
      <c r="E81" s="398"/>
      <c r="F81" s="398"/>
      <c r="G81" s="398"/>
      <c r="H81" s="398"/>
      <c r="I81" s="398"/>
      <c r="J81" s="398"/>
      <c r="K81" s="398"/>
      <c r="L81" s="398"/>
      <c r="M81" s="398"/>
      <c r="N81" s="398"/>
      <c r="O81" s="398"/>
      <c r="P81" s="398"/>
      <c r="Q81" s="398"/>
      <c r="R81" s="398"/>
      <c r="S81" s="398"/>
      <c r="T81" s="398"/>
      <c r="U81" s="398"/>
      <c r="V81" s="398"/>
      <c r="W81" s="398"/>
      <c r="X81" s="398"/>
      <c r="Y81" s="398"/>
      <c r="Z81" s="398"/>
      <c r="AA81" s="398"/>
      <c r="AB81" s="398"/>
      <c r="AC81" s="398"/>
      <c r="AD81" s="398"/>
      <c r="AE81" s="398"/>
      <c r="AF81" s="398"/>
      <c r="AG81" s="398"/>
      <c r="AH81" s="398"/>
      <c r="AI81" s="398"/>
      <c r="AJ81" s="398"/>
      <c r="AK81" s="398"/>
      <c r="AL81" s="398"/>
      <c r="AM81" s="398"/>
      <c r="AN81" s="398"/>
      <c r="AO81" s="398"/>
      <c r="AP81" s="398"/>
      <c r="AQ81" s="398"/>
      <c r="AR81" s="398"/>
      <c r="AS81" s="398"/>
      <c r="AT81" s="398"/>
      <c r="AU81" s="398"/>
    </row>
    <row r="82" spans="1:47">
      <c r="A82" s="398"/>
      <c r="B82" s="398"/>
      <c r="C82" s="398"/>
      <c r="D82" s="398"/>
      <c r="E82" s="398"/>
      <c r="F82" s="398"/>
      <c r="G82" s="398"/>
      <c r="H82" s="398"/>
      <c r="I82" s="398"/>
      <c r="J82" s="398"/>
      <c r="K82" s="398"/>
      <c r="L82" s="398"/>
      <c r="M82" s="398"/>
      <c r="N82" s="398"/>
      <c r="O82" s="398"/>
      <c r="P82" s="398"/>
      <c r="Q82" s="398"/>
      <c r="R82" s="398"/>
      <c r="S82" s="398"/>
      <c r="T82" s="398"/>
      <c r="U82" s="398"/>
      <c r="V82" s="398"/>
      <c r="W82" s="398"/>
      <c r="X82" s="398"/>
      <c r="Y82" s="398"/>
      <c r="Z82" s="398"/>
      <c r="AA82" s="398"/>
      <c r="AB82" s="398"/>
      <c r="AC82" s="398"/>
      <c r="AD82" s="398"/>
      <c r="AE82" s="398"/>
      <c r="AF82" s="398"/>
      <c r="AG82" s="398"/>
      <c r="AH82" s="398"/>
      <c r="AI82" s="398"/>
      <c r="AJ82" s="398"/>
      <c r="AK82" s="398"/>
      <c r="AL82" s="398"/>
      <c r="AM82" s="398"/>
      <c r="AN82" s="398"/>
      <c r="AO82" s="398"/>
      <c r="AP82" s="398"/>
      <c r="AQ82" s="398"/>
      <c r="AR82" s="398"/>
      <c r="AS82" s="398"/>
      <c r="AT82" s="398"/>
      <c r="AU82" s="398"/>
    </row>
    <row r="83" spans="1:47">
      <c r="A83" s="398"/>
      <c r="B83" s="398"/>
      <c r="C83" s="398"/>
      <c r="D83" s="398"/>
      <c r="E83" s="398"/>
      <c r="F83" s="398"/>
      <c r="G83" s="398"/>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398"/>
      <c r="AL83" s="398"/>
      <c r="AM83" s="398"/>
      <c r="AN83" s="398"/>
      <c r="AO83" s="398"/>
      <c r="AP83" s="398"/>
      <c r="AQ83" s="398"/>
      <c r="AR83" s="398"/>
      <c r="AS83" s="398"/>
      <c r="AT83" s="398"/>
      <c r="AU83" s="398"/>
    </row>
    <row r="84" spans="1:47">
      <c r="A84" s="398"/>
      <c r="B84" s="398"/>
      <c r="C84" s="398"/>
      <c r="D84" s="398"/>
      <c r="E84" s="398"/>
      <c r="F84" s="398"/>
      <c r="G84" s="398"/>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398"/>
      <c r="AL84" s="398"/>
      <c r="AM84" s="398"/>
      <c r="AN84" s="398"/>
      <c r="AO84" s="398"/>
      <c r="AP84" s="398"/>
      <c r="AQ84" s="398"/>
      <c r="AR84" s="398"/>
      <c r="AS84" s="398"/>
      <c r="AT84" s="398"/>
      <c r="AU84" s="398"/>
    </row>
    <row r="85" spans="1:47">
      <c r="A85" s="398"/>
      <c r="B85" s="398"/>
      <c r="C85" s="398"/>
      <c r="D85" s="398"/>
      <c r="E85" s="398"/>
      <c r="F85" s="398"/>
      <c r="G85" s="398"/>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398"/>
      <c r="AL85" s="398"/>
      <c r="AM85" s="398"/>
      <c r="AN85" s="398"/>
      <c r="AO85" s="398"/>
      <c r="AP85" s="398"/>
      <c r="AQ85" s="398"/>
      <c r="AR85" s="398"/>
      <c r="AS85" s="398"/>
      <c r="AT85" s="398"/>
      <c r="AU85" s="398"/>
    </row>
    <row r="86" spans="1:47">
      <c r="A86" s="398"/>
      <c r="B86" s="398"/>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8"/>
      <c r="AK86" s="398"/>
      <c r="AL86" s="398"/>
      <c r="AM86" s="398"/>
      <c r="AN86" s="398"/>
      <c r="AO86" s="398"/>
      <c r="AP86" s="398"/>
      <c r="AQ86" s="398"/>
      <c r="AR86" s="398"/>
      <c r="AS86" s="398"/>
      <c r="AT86" s="398"/>
      <c r="AU86" s="398"/>
    </row>
    <row r="87" spans="1:47">
      <c r="A87" s="398"/>
      <c r="B87" s="398"/>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398"/>
      <c r="AL87" s="398"/>
      <c r="AM87" s="398"/>
      <c r="AN87" s="398"/>
      <c r="AO87" s="398"/>
      <c r="AP87" s="398"/>
      <c r="AQ87" s="398"/>
      <c r="AR87" s="398"/>
      <c r="AS87" s="398"/>
      <c r="AT87" s="398"/>
      <c r="AU87" s="398"/>
    </row>
    <row r="88" spans="1:47">
      <c r="A88" s="398"/>
      <c r="B88" s="398"/>
      <c r="C88" s="398"/>
      <c r="D88" s="398"/>
      <c r="E88" s="398"/>
      <c r="F88" s="398"/>
      <c r="G88" s="398"/>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398"/>
      <c r="AL88" s="398"/>
      <c r="AM88" s="398"/>
      <c r="AN88" s="398"/>
      <c r="AO88" s="398"/>
      <c r="AP88" s="398"/>
      <c r="AQ88" s="398"/>
      <c r="AR88" s="398"/>
      <c r="AS88" s="398"/>
      <c r="AT88" s="398"/>
      <c r="AU88" s="398"/>
    </row>
    <row r="89" spans="1:47">
      <c r="A89" s="398"/>
      <c r="B89" s="398"/>
      <c r="C89" s="398"/>
      <c r="D89" s="398"/>
      <c r="E89" s="398"/>
      <c r="F89" s="398"/>
      <c r="G89" s="398"/>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398"/>
      <c r="AL89" s="398"/>
      <c r="AM89" s="398"/>
      <c r="AN89" s="398"/>
      <c r="AO89" s="398"/>
      <c r="AP89" s="398"/>
      <c r="AQ89" s="398"/>
      <c r="AR89" s="398"/>
      <c r="AS89" s="398"/>
      <c r="AT89" s="398"/>
      <c r="AU89" s="398"/>
    </row>
    <row r="90" spans="1:47">
      <c r="A90" s="398"/>
      <c r="B90" s="398"/>
      <c r="C90" s="398"/>
      <c r="D90" s="398"/>
      <c r="E90" s="398"/>
      <c r="F90" s="398"/>
      <c r="G90" s="398"/>
      <c r="H90" s="398"/>
      <c r="I90" s="398"/>
      <c r="J90" s="398"/>
      <c r="K90" s="398"/>
      <c r="L90" s="398"/>
      <c r="M90" s="398"/>
      <c r="N90" s="398"/>
      <c r="O90" s="398"/>
      <c r="P90" s="398"/>
      <c r="Q90" s="398"/>
      <c r="R90" s="398"/>
      <c r="S90" s="398"/>
      <c r="T90" s="398"/>
      <c r="U90" s="398"/>
      <c r="V90" s="398"/>
      <c r="W90" s="398"/>
      <c r="X90" s="398"/>
      <c r="Y90" s="398"/>
      <c r="Z90" s="398"/>
      <c r="AA90" s="398"/>
      <c r="AB90" s="398"/>
      <c r="AC90" s="398"/>
      <c r="AD90" s="398"/>
      <c r="AE90" s="398"/>
      <c r="AF90" s="398"/>
      <c r="AG90" s="398"/>
      <c r="AH90" s="398"/>
      <c r="AI90" s="398"/>
      <c r="AJ90" s="398"/>
      <c r="AK90" s="398"/>
      <c r="AL90" s="398"/>
      <c r="AM90" s="398"/>
      <c r="AN90" s="398"/>
      <c r="AO90" s="398"/>
      <c r="AP90" s="398"/>
      <c r="AQ90" s="398"/>
      <c r="AR90" s="398"/>
      <c r="AS90" s="398"/>
      <c r="AT90" s="398"/>
      <c r="AU90" s="398"/>
    </row>
    <row r="91" spans="1:47">
      <c r="A91" s="398"/>
      <c r="B91" s="398"/>
      <c r="C91" s="398"/>
      <c r="D91" s="398"/>
      <c r="E91" s="398"/>
      <c r="F91" s="398"/>
      <c r="G91" s="398"/>
      <c r="H91" s="398"/>
      <c r="I91" s="398"/>
      <c r="J91" s="398"/>
      <c r="K91" s="398"/>
      <c r="L91" s="398"/>
      <c r="M91" s="398"/>
      <c r="N91" s="398"/>
      <c r="O91" s="398"/>
      <c r="P91" s="398"/>
      <c r="Q91" s="398"/>
      <c r="R91" s="398"/>
      <c r="S91" s="398"/>
      <c r="T91" s="398"/>
      <c r="U91" s="398"/>
      <c r="V91" s="398"/>
      <c r="W91" s="398"/>
      <c r="X91" s="398"/>
      <c r="Y91" s="398"/>
      <c r="Z91" s="398"/>
      <c r="AA91" s="398"/>
      <c r="AB91" s="398"/>
      <c r="AC91" s="398"/>
      <c r="AD91" s="398"/>
      <c r="AE91" s="398"/>
      <c r="AF91" s="398"/>
      <c r="AG91" s="398"/>
      <c r="AH91" s="398"/>
      <c r="AI91" s="398"/>
      <c r="AJ91" s="398"/>
      <c r="AK91" s="398"/>
      <c r="AL91" s="398"/>
      <c r="AM91" s="398"/>
      <c r="AN91" s="398"/>
      <c r="AO91" s="398"/>
      <c r="AP91" s="398"/>
      <c r="AQ91" s="398"/>
      <c r="AR91" s="398"/>
      <c r="AS91" s="398"/>
      <c r="AT91" s="398"/>
      <c r="AU91" s="398"/>
    </row>
    <row r="92" spans="1:47">
      <c r="A92" s="398"/>
      <c r="B92" s="398"/>
      <c r="C92" s="398"/>
      <c r="D92" s="398"/>
      <c r="E92" s="398"/>
      <c r="F92" s="398"/>
      <c r="G92" s="398"/>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398"/>
      <c r="AL92" s="398"/>
      <c r="AM92" s="398"/>
      <c r="AN92" s="398"/>
      <c r="AO92" s="398"/>
      <c r="AP92" s="398"/>
      <c r="AQ92" s="398"/>
      <c r="AR92" s="398"/>
      <c r="AS92" s="398"/>
      <c r="AT92" s="398"/>
      <c r="AU92" s="398"/>
    </row>
    <row r="93" spans="1:47">
      <c r="A93" s="398"/>
      <c r="B93" s="398"/>
      <c r="C93" s="398"/>
      <c r="D93" s="398"/>
      <c r="E93" s="398"/>
      <c r="F93" s="398"/>
      <c r="G93" s="398"/>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398"/>
      <c r="AL93" s="398"/>
      <c r="AM93" s="398"/>
      <c r="AN93" s="398"/>
      <c r="AO93" s="398"/>
      <c r="AP93" s="398"/>
      <c r="AQ93" s="398"/>
      <c r="AR93" s="398"/>
      <c r="AS93" s="398"/>
      <c r="AT93" s="398"/>
      <c r="AU93" s="398"/>
    </row>
    <row r="94" spans="1:47">
      <c r="A94" s="398"/>
      <c r="B94" s="398"/>
      <c r="C94" s="398"/>
      <c r="D94" s="398"/>
      <c r="E94" s="398"/>
      <c r="F94" s="398"/>
      <c r="G94" s="398"/>
      <c r="H94" s="398"/>
      <c r="I94" s="398"/>
      <c r="J94" s="398"/>
      <c r="K94" s="398"/>
      <c r="L94" s="398"/>
      <c r="M94" s="398"/>
      <c r="N94" s="398"/>
      <c r="O94" s="398"/>
      <c r="P94" s="398"/>
      <c r="Q94" s="398"/>
      <c r="R94" s="398"/>
      <c r="S94" s="398"/>
      <c r="T94" s="398"/>
      <c r="U94" s="398"/>
      <c r="V94" s="398"/>
      <c r="W94" s="398"/>
      <c r="X94" s="398"/>
      <c r="Y94" s="398"/>
      <c r="Z94" s="398"/>
      <c r="AA94" s="398"/>
      <c r="AB94" s="398"/>
      <c r="AC94" s="398"/>
      <c r="AD94" s="398"/>
      <c r="AE94" s="398"/>
      <c r="AF94" s="398"/>
      <c r="AG94" s="398"/>
      <c r="AH94" s="398"/>
      <c r="AI94" s="398"/>
      <c r="AJ94" s="398"/>
      <c r="AK94" s="398"/>
      <c r="AL94" s="398"/>
      <c r="AM94" s="398"/>
      <c r="AN94" s="398"/>
      <c r="AO94" s="398"/>
      <c r="AP94" s="398"/>
      <c r="AQ94" s="398"/>
      <c r="AR94" s="398"/>
      <c r="AS94" s="398"/>
      <c r="AT94" s="398"/>
      <c r="AU94" s="398"/>
    </row>
    <row r="95" spans="1:47">
      <c r="A95" s="398"/>
      <c r="B95" s="398"/>
      <c r="C95" s="398"/>
      <c r="D95" s="398"/>
      <c r="E95" s="398"/>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398"/>
      <c r="AK95" s="398"/>
      <c r="AL95" s="398"/>
      <c r="AM95" s="398"/>
      <c r="AN95" s="398"/>
      <c r="AO95" s="398"/>
      <c r="AP95" s="398"/>
      <c r="AQ95" s="398"/>
      <c r="AR95" s="398"/>
      <c r="AS95" s="398"/>
      <c r="AT95" s="398"/>
      <c r="AU95" s="398"/>
    </row>
    <row r="96" spans="1:47">
      <c r="A96" s="398"/>
      <c r="B96" s="398"/>
      <c r="C96" s="398"/>
      <c r="D96" s="398"/>
      <c r="E96" s="398"/>
      <c r="F96" s="398"/>
      <c r="G96" s="398"/>
      <c r="H96" s="398"/>
      <c r="I96" s="398"/>
      <c r="J96" s="398"/>
      <c r="K96" s="398"/>
      <c r="L96" s="398"/>
      <c r="M96" s="398"/>
      <c r="N96" s="398"/>
      <c r="O96" s="398"/>
      <c r="P96" s="398"/>
      <c r="Q96" s="398"/>
      <c r="R96" s="398"/>
      <c r="S96" s="398"/>
      <c r="T96" s="398"/>
      <c r="U96" s="398"/>
      <c r="V96" s="398"/>
      <c r="W96" s="398"/>
      <c r="X96" s="398"/>
      <c r="Y96" s="398"/>
      <c r="Z96" s="398"/>
      <c r="AA96" s="398"/>
      <c r="AB96" s="398"/>
      <c r="AC96" s="398"/>
      <c r="AD96" s="398"/>
      <c r="AE96" s="398"/>
      <c r="AF96" s="398"/>
      <c r="AG96" s="398"/>
      <c r="AH96" s="398"/>
      <c r="AI96" s="398"/>
      <c r="AJ96" s="398"/>
      <c r="AK96" s="398"/>
      <c r="AL96" s="398"/>
      <c r="AM96" s="398"/>
      <c r="AN96" s="398"/>
      <c r="AO96" s="398"/>
      <c r="AP96" s="398"/>
      <c r="AQ96" s="398"/>
      <c r="AR96" s="398"/>
      <c r="AS96" s="398"/>
      <c r="AT96" s="398"/>
      <c r="AU96" s="398"/>
    </row>
    <row r="97" spans="1:47">
      <c r="A97" s="398"/>
      <c r="B97" s="129" t="str">
        <f>CopyRight</f>
        <v>©AnalysisPlace.  www.analysisplace.com</v>
      </c>
      <c r="C97" s="266"/>
      <c r="D97" s="266"/>
      <c r="E97" s="266"/>
      <c r="F97" s="266"/>
      <c r="G97" s="266"/>
      <c r="H97" s="266"/>
      <c r="I97" s="398"/>
      <c r="J97" s="398"/>
      <c r="K97" s="398"/>
      <c r="L97" s="398"/>
      <c r="M97" s="398"/>
      <c r="N97" s="398"/>
      <c r="O97" s="398"/>
      <c r="P97" s="398"/>
      <c r="Q97" s="398"/>
      <c r="R97" s="398"/>
      <c r="S97" s="266"/>
      <c r="T97" s="266"/>
      <c r="U97" s="266"/>
      <c r="V97" s="266"/>
      <c r="W97" s="266"/>
      <c r="X97" s="266"/>
      <c r="Y97" s="398"/>
      <c r="Z97" s="398"/>
      <c r="AA97" s="398"/>
      <c r="AB97" s="398"/>
      <c r="AC97" s="398"/>
      <c r="AD97" s="398"/>
      <c r="AE97" s="398"/>
      <c r="AF97" s="398"/>
      <c r="AG97" s="398"/>
      <c r="AH97" s="398"/>
      <c r="AI97" s="398"/>
      <c r="AJ97" s="398"/>
      <c r="AK97" s="398"/>
      <c r="AL97" s="398"/>
      <c r="AM97" s="398"/>
      <c r="AN97" s="398"/>
      <c r="AO97" s="398"/>
      <c r="AP97" s="398"/>
      <c r="AQ97" s="398"/>
      <c r="AR97" s="398"/>
      <c r="AS97" s="398"/>
      <c r="AT97" s="398"/>
      <c r="AU97" s="398"/>
    </row>
    <row r="98" spans="1:47" hidden="1">
      <c r="A98" s="100" t="s">
        <v>164</v>
      </c>
      <c r="B98" s="398"/>
      <c r="C98" s="398"/>
      <c r="D98" s="398"/>
      <c r="E98" s="398"/>
      <c r="F98" s="398"/>
      <c r="G98" s="398"/>
      <c r="H98" s="398"/>
      <c r="I98" s="398"/>
      <c r="J98" s="398"/>
      <c r="K98" s="398"/>
      <c r="L98" s="398"/>
      <c r="M98" s="398"/>
      <c r="N98" s="398"/>
      <c r="O98" s="398"/>
      <c r="P98" s="398"/>
      <c r="Q98" s="398"/>
      <c r="R98" s="398"/>
      <c r="S98" s="398"/>
      <c r="T98" s="398"/>
      <c r="U98" s="398"/>
      <c r="V98" s="398"/>
      <c r="W98" s="398"/>
      <c r="X98" s="398"/>
      <c r="Y98" s="398"/>
      <c r="Z98" s="398"/>
      <c r="AA98" s="398"/>
      <c r="AB98" s="398"/>
      <c r="AC98" s="398"/>
      <c r="AD98" s="398"/>
      <c r="AE98" s="398"/>
      <c r="AF98" s="398"/>
      <c r="AG98" s="398"/>
      <c r="AH98" s="398"/>
      <c r="AI98" s="398"/>
      <c r="AJ98" s="398"/>
      <c r="AK98" s="398"/>
      <c r="AL98" s="398"/>
      <c r="AM98" s="398"/>
      <c r="AN98" s="398"/>
      <c r="AO98" s="398"/>
      <c r="AP98" s="398"/>
      <c r="AQ98" s="398"/>
      <c r="AR98" s="398"/>
      <c r="AS98" s="398"/>
      <c r="AT98" s="398"/>
      <c r="AU98" s="398"/>
    </row>
    <row r="99" spans="1:47" s="59" customFormat="1" ht="15" hidden="1">
      <c r="A99" s="67" t="s">
        <v>713</v>
      </c>
      <c r="B99" s="398"/>
      <c r="C99" s="398"/>
      <c r="D99" s="398"/>
      <c r="E99" s="398"/>
      <c r="F99" s="398"/>
      <c r="G99" s="398"/>
      <c r="H99" s="398"/>
      <c r="I99" s="398"/>
      <c r="J99" s="398"/>
      <c r="K99" s="398"/>
      <c r="L99" s="398"/>
      <c r="M99" s="398"/>
      <c r="N99" s="398"/>
      <c r="O99" s="398"/>
      <c r="P99" s="398"/>
      <c r="Q99" s="398"/>
      <c r="R99" s="398"/>
      <c r="S99" s="398"/>
      <c r="T99" s="398"/>
      <c r="U99" s="398"/>
      <c r="V99" s="398"/>
      <c r="W99" s="398"/>
      <c r="X99" s="398"/>
      <c r="Y99" s="398"/>
      <c r="Z99" s="398"/>
      <c r="AA99" s="398"/>
      <c r="AB99" s="398"/>
      <c r="AC99" s="398"/>
      <c r="AD99" s="398"/>
      <c r="AE99" s="398"/>
      <c r="AF99" s="398"/>
      <c r="AG99" s="398"/>
      <c r="AH99" s="398"/>
      <c r="AI99" s="398"/>
      <c r="AJ99" s="398"/>
      <c r="AK99" s="398"/>
      <c r="AL99" s="398"/>
      <c r="AM99" s="398"/>
      <c r="AN99" s="398"/>
      <c r="AO99" s="398"/>
      <c r="AP99" s="398"/>
      <c r="AQ99" s="398"/>
      <c r="AR99" s="398"/>
      <c r="AS99" s="398"/>
      <c r="AT99" s="398"/>
      <c r="AU99" s="398"/>
    </row>
    <row r="100" spans="1:47" hidden="1">
      <c r="A100" s="183"/>
      <c r="B100" s="398"/>
      <c r="C100" s="36" t="s">
        <v>714</v>
      </c>
      <c r="D100" s="184" t="str">
        <f>INDEX(B114:B138,MATCH(E70,$C$114:$C$138,0))</f>
        <v>Maturity Level</v>
      </c>
      <c r="E100" s="398"/>
      <c r="F100" s="398"/>
      <c r="G100" s="398"/>
      <c r="H100" s="398"/>
      <c r="I100" s="398"/>
      <c r="J100" s="398"/>
      <c r="K100" s="398"/>
      <c r="L100" s="398"/>
      <c r="M100" s="398"/>
      <c r="N100" s="398"/>
      <c r="O100" s="398"/>
      <c r="P100" s="398"/>
      <c r="Q100" s="398"/>
      <c r="R100" s="398"/>
      <c r="S100" s="398"/>
      <c r="T100" s="398"/>
      <c r="U100" s="398"/>
      <c r="V100" s="398"/>
      <c r="W100" s="398"/>
      <c r="X100" s="398"/>
      <c r="Y100" s="398"/>
      <c r="Z100" s="398"/>
      <c r="AA100" s="398"/>
      <c r="AB100" s="398"/>
      <c r="AC100" s="398"/>
      <c r="AD100" s="398"/>
      <c r="AE100" s="398"/>
      <c r="AF100" s="398"/>
      <c r="AG100" s="398"/>
      <c r="AH100" s="398"/>
      <c r="AI100" s="398"/>
      <c r="AJ100" s="398"/>
      <c r="AK100" s="398"/>
      <c r="AL100" s="398"/>
      <c r="AM100" s="398"/>
      <c r="AN100" s="398"/>
      <c r="AO100" s="398"/>
      <c r="AP100" s="398"/>
      <c r="AQ100" s="398"/>
      <c r="AR100" s="398"/>
      <c r="AS100" s="398"/>
      <c r="AT100" s="398"/>
      <c r="AU100" s="398"/>
    </row>
    <row r="101" spans="1:47" s="59" customFormat="1" hidden="1">
      <c r="A101" s="183"/>
      <c r="B101" s="398"/>
      <c r="C101" s="36" t="s">
        <v>715</v>
      </c>
      <c r="D101" s="185">
        <f>MATCH(D100,$B$8:$B$35,0)</f>
        <v>24</v>
      </c>
      <c r="E101" s="398" t="str">
        <f>INDEX($B$8:$B$35,D101)</f>
        <v>Maturity Level</v>
      </c>
      <c r="F101" s="398"/>
      <c r="G101" s="398"/>
      <c r="H101" s="398"/>
      <c r="I101" s="398"/>
      <c r="J101" s="398"/>
      <c r="K101" s="398"/>
      <c r="L101" s="398"/>
      <c r="M101" s="398"/>
      <c r="N101" s="398"/>
      <c r="O101" s="398"/>
      <c r="P101" s="398"/>
      <c r="Q101" s="398"/>
      <c r="R101" s="398"/>
      <c r="S101" s="398"/>
      <c r="T101" s="398"/>
      <c r="U101" s="398"/>
      <c r="V101" s="398"/>
      <c r="W101" s="398"/>
      <c r="X101" s="398"/>
      <c r="Y101" s="398"/>
      <c r="Z101" s="398"/>
      <c r="AA101" s="398"/>
      <c r="AB101" s="398"/>
      <c r="AC101" s="398"/>
      <c r="AD101" s="398"/>
      <c r="AE101" s="398"/>
      <c r="AF101" s="398"/>
      <c r="AG101" s="398"/>
      <c r="AH101" s="398"/>
      <c r="AI101" s="398"/>
      <c r="AJ101" s="398"/>
      <c r="AK101" s="398"/>
      <c r="AL101" s="398"/>
      <c r="AM101" s="398"/>
      <c r="AN101" s="398"/>
      <c r="AO101" s="398"/>
      <c r="AP101" s="398"/>
      <c r="AQ101" s="398"/>
      <c r="AR101" s="398"/>
      <c r="AS101" s="398"/>
      <c r="AT101" s="398"/>
      <c r="AU101" s="398"/>
    </row>
    <row r="102" spans="1:47" hidden="1">
      <c r="A102" s="183"/>
      <c r="B102" s="398"/>
      <c r="C102" s="186" t="str">
        <f>N102&amp;INDEX($B$8:$B$35,$D$101)</f>
        <v>Relative KPI Performance:  Maturity Level</v>
      </c>
      <c r="D102" s="185"/>
      <c r="E102" s="398"/>
      <c r="F102" s="398"/>
      <c r="G102" s="398"/>
      <c r="H102" s="398"/>
      <c r="I102" s="398"/>
      <c r="J102" s="398"/>
      <c r="K102" s="398"/>
      <c r="L102" s="398"/>
      <c r="M102" s="398"/>
      <c r="N102" s="270" t="s">
        <v>716</v>
      </c>
      <c r="O102" s="398"/>
      <c r="P102" s="398"/>
      <c r="Q102" s="398"/>
      <c r="R102" s="398"/>
      <c r="S102" s="398"/>
      <c r="T102" s="398"/>
      <c r="U102" s="398"/>
      <c r="V102" s="398"/>
      <c r="W102" s="398"/>
      <c r="X102" s="398"/>
      <c r="Y102" s="398"/>
      <c r="Z102" s="398"/>
      <c r="AA102" s="398"/>
      <c r="AB102" s="398"/>
      <c r="AC102" s="398"/>
      <c r="AD102" s="398"/>
      <c r="AE102" s="398"/>
      <c r="AF102" s="398"/>
      <c r="AG102" s="398"/>
      <c r="AH102" s="398"/>
      <c r="AI102" s="398"/>
      <c r="AJ102" s="398"/>
      <c r="AK102" s="398"/>
      <c r="AL102" s="398"/>
      <c r="AM102" s="398"/>
      <c r="AN102" s="398"/>
      <c r="AO102" s="398"/>
      <c r="AP102" s="398"/>
      <c r="AQ102" s="398"/>
      <c r="AR102" s="398"/>
      <c r="AS102" s="398"/>
      <c r="AT102" s="398"/>
      <c r="AU102" s="398"/>
    </row>
    <row r="103" spans="1:47" hidden="1">
      <c r="A103" s="183"/>
      <c r="B103" s="398"/>
      <c r="C103" s="186" t="str">
        <f>N103&amp;INDEX($C$8:$C$35,$D$101)</f>
        <v>KPI:  Best practice adoption %</v>
      </c>
      <c r="D103" s="184" t="s">
        <v>717</v>
      </c>
      <c r="E103" s="398"/>
      <c r="F103" s="398"/>
      <c r="G103" s="398"/>
      <c r="H103" s="398"/>
      <c r="I103" s="398"/>
      <c r="J103" s="398"/>
      <c r="K103" s="398"/>
      <c r="L103" s="398"/>
      <c r="M103" s="398"/>
      <c r="N103" s="270" t="s">
        <v>718</v>
      </c>
      <c r="O103" s="398"/>
      <c r="P103" s="398"/>
      <c r="Q103" s="398"/>
      <c r="R103" s="398"/>
      <c r="S103" s="398"/>
      <c r="T103" s="398"/>
      <c r="U103" s="398"/>
      <c r="V103" s="398"/>
      <c r="W103" s="398"/>
      <c r="X103" s="398"/>
      <c r="Y103" s="398"/>
      <c r="Z103" s="398"/>
      <c r="AA103" s="398"/>
      <c r="AB103" s="398"/>
      <c r="AC103" s="398"/>
      <c r="AD103" s="398"/>
      <c r="AE103" s="398"/>
      <c r="AF103" s="398"/>
      <c r="AG103" s="398"/>
      <c r="AH103" s="398"/>
      <c r="AI103" s="398"/>
      <c r="AJ103" s="398"/>
      <c r="AK103" s="398"/>
      <c r="AL103" s="398"/>
      <c r="AM103" s="398"/>
      <c r="AN103" s="398"/>
      <c r="AO103" s="398"/>
      <c r="AP103" s="398"/>
      <c r="AQ103" s="398"/>
      <c r="AR103" s="398"/>
      <c r="AS103" s="398"/>
      <c r="AT103" s="398"/>
      <c r="AU103" s="398"/>
    </row>
    <row r="104" spans="1:47" hidden="1">
      <c r="A104" s="183" t="s">
        <v>719</v>
      </c>
      <c r="B104" s="398"/>
      <c r="C104" s="270" t="s">
        <v>720</v>
      </c>
      <c r="D104" s="270" t="s">
        <v>721</v>
      </c>
      <c r="E104" s="398"/>
      <c r="F104" s="398"/>
      <c r="G104" s="398"/>
      <c r="H104" s="398"/>
      <c r="I104" s="398"/>
      <c r="J104" s="398"/>
      <c r="K104" s="398"/>
      <c r="L104" s="398"/>
      <c r="M104" s="398"/>
      <c r="N104" s="398"/>
      <c r="O104" s="398"/>
      <c r="P104" s="398"/>
      <c r="Q104" s="398"/>
      <c r="R104" s="398"/>
      <c r="S104" s="398"/>
      <c r="T104" s="398"/>
      <c r="U104" s="398"/>
      <c r="V104" s="398"/>
      <c r="W104" s="398"/>
      <c r="X104" s="398"/>
      <c r="Y104" s="398"/>
      <c r="Z104" s="398"/>
      <c r="AA104" s="398"/>
      <c r="AB104" s="398"/>
      <c r="AC104" s="398"/>
      <c r="AD104" s="398"/>
      <c r="AE104" s="398"/>
      <c r="AF104" s="398"/>
      <c r="AG104" s="398"/>
      <c r="AH104" s="398"/>
      <c r="AI104" s="398"/>
      <c r="AJ104" s="398"/>
      <c r="AK104" s="398"/>
      <c r="AL104" s="398"/>
      <c r="AM104" s="398"/>
      <c r="AN104" s="398"/>
      <c r="AO104" s="398"/>
      <c r="AP104" s="398"/>
      <c r="AQ104" s="398"/>
      <c r="AR104" s="398"/>
      <c r="AS104" s="398"/>
      <c r="AT104" s="398"/>
      <c r="AU104" s="398"/>
    </row>
    <row r="105" spans="1:47" hidden="1">
      <c r="A105" s="183"/>
      <c r="B105" s="36" t="str">
        <f>D6</f>
        <v>Late Adopter</v>
      </c>
      <c r="C105" s="187">
        <f>INDEX($D$8:$D$35,$D$101)</f>
        <v>0.1</v>
      </c>
      <c r="D105" s="66">
        <v>0.1</v>
      </c>
      <c r="E105" s="270">
        <v>1</v>
      </c>
      <c r="F105" s="398"/>
      <c r="G105" s="398"/>
      <c r="H105" s="398"/>
      <c r="I105" s="398"/>
      <c r="J105" s="398"/>
      <c r="K105" s="398"/>
      <c r="L105" s="398"/>
      <c r="M105" s="398"/>
      <c r="N105" s="398"/>
      <c r="O105" s="398"/>
      <c r="P105" s="398"/>
      <c r="Q105" s="398"/>
      <c r="R105" s="398"/>
      <c r="S105" s="398"/>
      <c r="T105" s="398"/>
      <c r="U105" s="398"/>
      <c r="V105" s="398"/>
      <c r="W105" s="398"/>
      <c r="X105" s="398"/>
      <c r="Y105" s="398"/>
      <c r="Z105" s="398"/>
      <c r="AA105" s="398"/>
      <c r="AB105" s="398"/>
      <c r="AC105" s="398"/>
      <c r="AD105" s="398"/>
      <c r="AE105" s="398"/>
      <c r="AF105" s="398"/>
      <c r="AG105" s="398"/>
      <c r="AH105" s="398"/>
      <c r="AI105" s="398"/>
      <c r="AJ105" s="398"/>
      <c r="AK105" s="398"/>
      <c r="AL105" s="398"/>
      <c r="AM105" s="398"/>
      <c r="AN105" s="398"/>
      <c r="AO105" s="398"/>
      <c r="AP105" s="398"/>
      <c r="AQ105" s="398"/>
      <c r="AR105" s="398"/>
      <c r="AS105" s="398"/>
      <c r="AT105" s="398"/>
      <c r="AU105" s="398"/>
    </row>
    <row r="106" spans="1:47" hidden="1">
      <c r="A106" s="183"/>
      <c r="B106" s="36" t="str">
        <f>E6</f>
        <v>World Class</v>
      </c>
      <c r="C106" s="187">
        <f>INDEX($E$8:$E$35,$D$101)</f>
        <v>0.9</v>
      </c>
      <c r="D106" s="66">
        <v>0.9</v>
      </c>
      <c r="E106" s="270">
        <v>2</v>
      </c>
      <c r="F106" s="398"/>
      <c r="G106" s="398"/>
      <c r="H106" s="398"/>
      <c r="I106" s="398"/>
      <c r="J106" s="398"/>
      <c r="K106" s="398"/>
      <c r="L106" s="398"/>
      <c r="M106" s="398"/>
      <c r="N106" s="398"/>
      <c r="O106" s="398"/>
      <c r="P106" s="398"/>
      <c r="Q106" s="398"/>
      <c r="R106" s="398"/>
      <c r="S106" s="398"/>
      <c r="T106" s="398"/>
      <c r="U106" s="398"/>
      <c r="V106" s="398"/>
      <c r="W106" s="398"/>
      <c r="X106" s="398"/>
      <c r="Y106" s="398"/>
      <c r="Z106" s="398"/>
      <c r="AA106" s="398"/>
      <c r="AB106" s="398"/>
      <c r="AC106" s="398"/>
      <c r="AD106" s="398"/>
      <c r="AE106" s="398"/>
      <c r="AF106" s="398"/>
      <c r="AG106" s="398"/>
      <c r="AH106" s="398"/>
      <c r="AI106" s="398"/>
      <c r="AJ106" s="398"/>
      <c r="AK106" s="398"/>
      <c r="AL106" s="398"/>
      <c r="AM106" s="398"/>
      <c r="AN106" s="398"/>
      <c r="AO106" s="398"/>
      <c r="AP106" s="398"/>
      <c r="AQ106" s="398"/>
      <c r="AR106" s="398"/>
      <c r="AS106" s="398"/>
      <c r="AT106" s="398"/>
      <c r="AU106" s="398"/>
    </row>
    <row r="107" spans="1:47" hidden="1">
      <c r="A107" s="183" t="s">
        <v>638</v>
      </c>
      <c r="B107" s="398"/>
      <c r="C107" s="398"/>
      <c r="D107" s="398"/>
      <c r="E107" s="398"/>
      <c r="F107" s="398"/>
      <c r="G107" s="398"/>
      <c r="H107" s="398"/>
      <c r="I107" s="398"/>
      <c r="J107" s="398"/>
      <c r="K107" s="398"/>
      <c r="L107" s="398"/>
      <c r="M107" s="398"/>
      <c r="N107" s="398"/>
      <c r="O107" s="398"/>
      <c r="P107" s="398"/>
      <c r="Q107" s="398"/>
      <c r="R107" s="398"/>
      <c r="S107" s="398"/>
      <c r="T107" s="398"/>
      <c r="U107" s="398"/>
      <c r="V107" s="398"/>
      <c r="W107" s="398"/>
      <c r="X107" s="398"/>
      <c r="Y107" s="398"/>
      <c r="Z107" s="398"/>
      <c r="AA107" s="398"/>
      <c r="AB107" s="398"/>
      <c r="AC107" s="398"/>
      <c r="AD107" s="398"/>
      <c r="AE107" s="398"/>
      <c r="AF107" s="398"/>
      <c r="AG107" s="398"/>
      <c r="AH107" s="398"/>
      <c r="AI107" s="398"/>
      <c r="AJ107" s="398"/>
      <c r="AK107" s="398"/>
      <c r="AL107" s="398"/>
      <c r="AM107" s="398"/>
      <c r="AN107" s="398"/>
      <c r="AO107" s="398"/>
      <c r="AP107" s="398"/>
      <c r="AQ107" s="398"/>
      <c r="AR107" s="398"/>
      <c r="AS107" s="398"/>
      <c r="AT107" s="398"/>
      <c r="AU107" s="398"/>
    </row>
    <row r="108" spans="1:47" hidden="1">
      <c r="A108" s="183"/>
      <c r="B108" s="36" t="str">
        <f>F6</f>
        <v>As-Is</v>
      </c>
      <c r="C108" s="187">
        <f>INDEX($H$8:$H$35,$D$101)</f>
        <v>0.3</v>
      </c>
      <c r="D108" s="187">
        <f>INDEX($F$8:$F$35,$D$101)</f>
        <v>0.3</v>
      </c>
      <c r="E108" s="398"/>
      <c r="F108" s="398"/>
      <c r="G108" s="270"/>
      <c r="H108" s="398"/>
      <c r="I108" s="398"/>
      <c r="J108" s="398"/>
      <c r="K108" s="398"/>
      <c r="L108" s="398"/>
      <c r="M108" s="398"/>
      <c r="N108" s="398"/>
      <c r="O108" s="398"/>
      <c r="P108" s="398"/>
      <c r="Q108" s="398"/>
      <c r="R108" s="398"/>
      <c r="S108" s="398"/>
      <c r="T108" s="398"/>
      <c r="U108" s="398"/>
      <c r="V108" s="398"/>
      <c r="W108" s="398"/>
      <c r="X108" s="398"/>
      <c r="Y108" s="398"/>
      <c r="Z108" s="398"/>
      <c r="AA108" s="398"/>
      <c r="AB108" s="398"/>
      <c r="AC108" s="398"/>
      <c r="AD108" s="398"/>
      <c r="AE108" s="398"/>
      <c r="AF108" s="398"/>
      <c r="AG108" s="398"/>
      <c r="AH108" s="398"/>
      <c r="AI108" s="398"/>
      <c r="AJ108" s="398"/>
      <c r="AK108" s="398"/>
      <c r="AL108" s="398"/>
      <c r="AM108" s="398"/>
      <c r="AN108" s="398"/>
      <c r="AO108" s="398"/>
      <c r="AP108" s="398"/>
      <c r="AQ108" s="398"/>
      <c r="AR108" s="398"/>
      <c r="AS108" s="398"/>
      <c r="AT108" s="398"/>
      <c r="AU108" s="398"/>
    </row>
    <row r="109" spans="1:47" hidden="1">
      <c r="A109" s="183"/>
      <c r="B109" s="36" t="str">
        <f>G6</f>
        <v>To-Be</v>
      </c>
      <c r="C109" s="187">
        <f>INDEX($I$8:$I$35,$D$101)</f>
        <v>0.36299999999999999</v>
      </c>
      <c r="D109" s="187">
        <f>INDEX($G$8:$G$35,$D$101)</f>
        <v>0.36299999999999999</v>
      </c>
      <c r="E109" s="398"/>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398"/>
      <c r="AK109" s="398"/>
      <c r="AL109" s="398"/>
      <c r="AM109" s="398"/>
      <c r="AN109" s="398"/>
      <c r="AO109" s="398"/>
      <c r="AP109" s="398"/>
      <c r="AQ109" s="398"/>
      <c r="AR109" s="398"/>
      <c r="AS109" s="398"/>
      <c r="AT109" s="398"/>
      <c r="AU109" s="398"/>
    </row>
    <row r="110" spans="1:47" hidden="1">
      <c r="A110" s="183"/>
      <c r="B110" s="398"/>
      <c r="C110" s="398"/>
      <c r="D110" s="398"/>
      <c r="E110" s="398"/>
      <c r="F110" s="398"/>
      <c r="G110" s="398"/>
      <c r="H110" s="398"/>
      <c r="I110" s="398"/>
      <c r="J110" s="398"/>
      <c r="K110" s="398"/>
      <c r="L110" s="398"/>
      <c r="M110" s="398"/>
      <c r="N110" s="398"/>
      <c r="O110" s="398"/>
      <c r="P110" s="398"/>
      <c r="Q110" s="398"/>
      <c r="R110" s="398"/>
      <c r="S110" s="398"/>
      <c r="T110" s="398"/>
      <c r="U110" s="398"/>
      <c r="V110" s="398"/>
      <c r="W110" s="398"/>
      <c r="X110" s="398"/>
      <c r="Y110" s="398"/>
      <c r="Z110" s="398"/>
      <c r="AA110" s="398"/>
      <c r="AB110" s="398"/>
      <c r="AC110" s="398"/>
      <c r="AD110" s="398"/>
      <c r="AE110" s="398"/>
      <c r="AF110" s="398"/>
      <c r="AG110" s="398"/>
      <c r="AH110" s="398"/>
      <c r="AI110" s="398"/>
      <c r="AJ110" s="398"/>
      <c r="AK110" s="398"/>
      <c r="AL110" s="398"/>
      <c r="AM110" s="398"/>
      <c r="AN110" s="398"/>
      <c r="AO110" s="398"/>
      <c r="AP110" s="398"/>
      <c r="AQ110" s="398"/>
      <c r="AR110" s="398"/>
      <c r="AS110" s="398"/>
      <c r="AT110" s="398"/>
      <c r="AU110" s="398"/>
    </row>
    <row r="111" spans="1:47" hidden="1">
      <c r="A111" s="183"/>
      <c r="B111" s="398"/>
      <c r="C111" s="398"/>
      <c r="D111" s="398"/>
      <c r="E111" s="398"/>
      <c r="F111" s="398"/>
      <c r="G111" s="398"/>
      <c r="H111" s="398"/>
      <c r="I111" s="398"/>
      <c r="J111" s="398"/>
      <c r="K111" s="398"/>
      <c r="L111" s="398"/>
      <c r="M111" s="398"/>
      <c r="N111" s="398"/>
      <c r="O111" s="398"/>
      <c r="P111" s="398"/>
      <c r="Q111" s="398"/>
      <c r="R111" s="398"/>
      <c r="S111" s="398"/>
      <c r="T111" s="398"/>
      <c r="U111" s="398"/>
      <c r="V111" s="398"/>
      <c r="W111" s="398"/>
      <c r="X111" s="398"/>
      <c r="Y111" s="398"/>
      <c r="Z111" s="398"/>
      <c r="AA111" s="398"/>
      <c r="AB111" s="398"/>
      <c r="AC111" s="398"/>
      <c r="AD111" s="398"/>
      <c r="AE111" s="398"/>
      <c r="AF111" s="398"/>
      <c r="AG111" s="398"/>
      <c r="AH111" s="398"/>
      <c r="AI111" s="398"/>
      <c r="AJ111" s="398"/>
      <c r="AK111" s="398"/>
      <c r="AL111" s="398"/>
      <c r="AM111" s="398"/>
      <c r="AN111" s="398"/>
      <c r="AO111" s="398"/>
      <c r="AP111" s="398"/>
      <c r="AQ111" s="398"/>
      <c r="AR111" s="398"/>
      <c r="AS111" s="398"/>
      <c r="AT111" s="398"/>
      <c r="AU111" s="398"/>
    </row>
    <row r="112" spans="1:47" hidden="1">
      <c r="A112" s="183"/>
      <c r="B112" s="398"/>
      <c r="C112" s="398"/>
      <c r="D112" s="398"/>
      <c r="E112" s="398"/>
      <c r="F112" s="398"/>
      <c r="G112" s="398"/>
      <c r="H112" s="398"/>
      <c r="I112" s="398"/>
      <c r="J112" s="398"/>
      <c r="K112" s="398"/>
      <c r="L112" s="398"/>
      <c r="M112" s="398"/>
      <c r="N112" s="398"/>
      <c r="O112" s="398"/>
      <c r="P112" s="398"/>
      <c r="Q112" s="398"/>
      <c r="R112" s="398"/>
      <c r="S112" s="398"/>
      <c r="T112" s="398"/>
      <c r="U112" s="398"/>
      <c r="V112" s="398"/>
      <c r="W112" s="398"/>
      <c r="X112" s="398"/>
      <c r="Y112" s="398"/>
      <c r="Z112" s="398"/>
      <c r="AA112" s="398"/>
      <c r="AB112" s="398"/>
      <c r="AC112" s="398"/>
      <c r="AD112" s="398"/>
      <c r="AE112" s="398"/>
      <c r="AF112" s="398"/>
      <c r="AG112" s="398"/>
      <c r="AH112" s="398"/>
      <c r="AI112" s="398"/>
      <c r="AJ112" s="398"/>
      <c r="AK112" s="398"/>
      <c r="AL112" s="398"/>
      <c r="AM112" s="398"/>
      <c r="AN112" s="398"/>
      <c r="AO112" s="398"/>
      <c r="AP112" s="398"/>
      <c r="AQ112" s="398"/>
      <c r="AR112" s="398"/>
      <c r="AS112" s="398"/>
      <c r="AT112" s="398"/>
      <c r="AU112" s="398"/>
    </row>
    <row r="113" spans="1:47" ht="15" hidden="1">
      <c r="A113" s="67" t="s">
        <v>722</v>
      </c>
      <c r="B113" s="398"/>
      <c r="C113" s="398"/>
      <c r="D113" s="398"/>
      <c r="E113" s="398"/>
      <c r="F113" s="398"/>
      <c r="G113" s="398"/>
      <c r="H113" s="398"/>
      <c r="I113" s="398"/>
      <c r="J113" s="398"/>
      <c r="K113" s="398"/>
      <c r="L113" s="398"/>
      <c r="M113" s="398"/>
      <c r="N113" s="398"/>
      <c r="O113" s="398"/>
      <c r="P113" s="398"/>
      <c r="Q113" s="398"/>
      <c r="R113" s="398"/>
      <c r="S113" s="398"/>
      <c r="T113" s="398"/>
      <c r="U113" s="398"/>
      <c r="V113" s="398"/>
      <c r="W113" s="398"/>
      <c r="X113" s="398"/>
      <c r="Y113" s="398"/>
      <c r="Z113" s="398"/>
      <c r="AA113" s="398"/>
      <c r="AB113" s="398"/>
      <c r="AC113" s="398"/>
      <c r="AD113" s="398"/>
      <c r="AE113" s="398"/>
      <c r="AF113" s="398"/>
      <c r="AG113" s="398"/>
      <c r="AH113" s="398"/>
      <c r="AI113" s="398"/>
      <c r="AJ113" s="398"/>
      <c r="AK113" s="398"/>
      <c r="AL113" s="398"/>
      <c r="AM113" s="398"/>
      <c r="AN113" s="398"/>
      <c r="AO113" s="398"/>
      <c r="AP113" s="398"/>
      <c r="AQ113" s="398"/>
      <c r="AR113" s="398"/>
      <c r="AS113" s="398"/>
      <c r="AT113" s="398"/>
      <c r="AU113" s="398"/>
    </row>
    <row r="114" spans="1:47" hidden="1">
      <c r="A114" s="183"/>
      <c r="B114" s="181" t="str">
        <f>B8</f>
        <v>Customer Acquisition</v>
      </c>
      <c r="C114" s="181" t="str">
        <f t="shared" ref="C114:C138" si="15">D114&amp;" - "&amp;B114</f>
        <v>Sales - Customer Acquisition</v>
      </c>
      <c r="D114" s="181" t="s">
        <v>723</v>
      </c>
      <c r="E114" s="398"/>
      <c r="F114" s="398"/>
      <c r="G114" s="398"/>
      <c r="H114" s="398"/>
      <c r="I114" s="398"/>
      <c r="J114" s="398"/>
      <c r="K114" s="398"/>
      <c r="L114" s="398"/>
      <c r="M114" s="398"/>
      <c r="N114" s="398"/>
      <c r="O114" s="398"/>
      <c r="P114" s="398"/>
      <c r="Q114" s="398"/>
      <c r="R114" s="398"/>
      <c r="S114" s="398"/>
      <c r="T114" s="398"/>
      <c r="U114" s="398"/>
      <c r="V114" s="398"/>
      <c r="W114" s="398"/>
      <c r="X114" s="398"/>
      <c r="Y114" s="398"/>
      <c r="Z114" s="398"/>
      <c r="AA114" s="398"/>
      <c r="AB114" s="398"/>
      <c r="AC114" s="398"/>
      <c r="AD114" s="398"/>
      <c r="AE114" s="398"/>
      <c r="AF114" s="398"/>
      <c r="AG114" s="398"/>
      <c r="AH114" s="398"/>
      <c r="AI114" s="398"/>
      <c r="AJ114" s="398"/>
      <c r="AK114" s="398"/>
      <c r="AL114" s="398"/>
      <c r="AM114" s="398"/>
      <c r="AN114" s="398"/>
      <c r="AO114" s="398"/>
      <c r="AP114" s="398"/>
      <c r="AQ114" s="398"/>
      <c r="AR114" s="398"/>
      <c r="AS114" s="398"/>
      <c r="AT114" s="398"/>
      <c r="AU114" s="398"/>
    </row>
    <row r="115" spans="1:47" hidden="1">
      <c r="A115" s="183"/>
      <c r="B115" s="181" t="str">
        <f>B9</f>
        <v>Customer Retention</v>
      </c>
      <c r="C115" s="181" t="str">
        <f t="shared" si="15"/>
        <v>Sales - Customer Retention</v>
      </c>
      <c r="D115" s="181" t="s">
        <v>723</v>
      </c>
      <c r="E115" s="398"/>
      <c r="F115" s="398"/>
      <c r="G115" s="398"/>
      <c r="H115" s="398"/>
      <c r="I115" s="398"/>
      <c r="J115" s="398"/>
      <c r="K115" s="398"/>
      <c r="L115" s="398"/>
      <c r="M115" s="398"/>
      <c r="N115" s="398"/>
      <c r="O115" s="398"/>
      <c r="P115" s="398"/>
      <c r="Q115" s="398"/>
      <c r="R115" s="398"/>
      <c r="S115" s="398"/>
      <c r="T115" s="398"/>
      <c r="U115" s="398"/>
      <c r="V115" s="398"/>
      <c r="W115" s="398"/>
      <c r="X115" s="398"/>
      <c r="Y115" s="398"/>
      <c r="Z115" s="398"/>
      <c r="AA115" s="398"/>
      <c r="AB115" s="398"/>
      <c r="AC115" s="398"/>
      <c r="AD115" s="398"/>
      <c r="AE115" s="398"/>
      <c r="AF115" s="398"/>
      <c r="AG115" s="398"/>
      <c r="AH115" s="398"/>
      <c r="AI115" s="398"/>
      <c r="AJ115" s="398"/>
      <c r="AK115" s="398"/>
      <c r="AL115" s="398"/>
      <c r="AM115" s="398"/>
      <c r="AN115" s="398"/>
      <c r="AO115" s="398"/>
      <c r="AP115" s="398"/>
      <c r="AQ115" s="398"/>
      <c r="AR115" s="398"/>
      <c r="AS115" s="398"/>
      <c r="AT115" s="398"/>
      <c r="AU115" s="398"/>
    </row>
    <row r="116" spans="1:47" hidden="1">
      <c r="A116" s="183"/>
      <c r="B116" s="181" t="str">
        <f>B10</f>
        <v>Customer Satisfaction</v>
      </c>
      <c r="C116" s="181" t="str">
        <f t="shared" si="15"/>
        <v>Sales - Customer Satisfaction</v>
      </c>
      <c r="D116" s="181" t="s">
        <v>723</v>
      </c>
      <c r="E116" s="398"/>
      <c r="F116" s="398"/>
      <c r="G116" s="398"/>
      <c r="H116" s="398"/>
      <c r="I116" s="398"/>
      <c r="J116" s="398"/>
      <c r="K116" s="398"/>
      <c r="L116" s="398"/>
      <c r="M116" s="398"/>
      <c r="N116" s="398"/>
      <c r="O116" s="398"/>
      <c r="P116" s="398"/>
      <c r="Q116" s="398"/>
      <c r="R116" s="398"/>
      <c r="S116" s="398"/>
      <c r="T116" s="398"/>
      <c r="U116" s="398"/>
      <c r="V116" s="398"/>
      <c r="W116" s="398"/>
      <c r="X116" s="398"/>
      <c r="Y116" s="398"/>
      <c r="Z116" s="398"/>
      <c r="AA116" s="398"/>
      <c r="AB116" s="398"/>
      <c r="AC116" s="398"/>
      <c r="AD116" s="398"/>
      <c r="AE116" s="398"/>
      <c r="AF116" s="398"/>
      <c r="AG116" s="398"/>
      <c r="AH116" s="398"/>
      <c r="AI116" s="398"/>
      <c r="AJ116" s="398"/>
      <c r="AK116" s="398"/>
      <c r="AL116" s="398"/>
      <c r="AM116" s="398"/>
      <c r="AN116" s="398"/>
      <c r="AO116" s="398"/>
      <c r="AP116" s="398"/>
      <c r="AQ116" s="398"/>
      <c r="AR116" s="398"/>
      <c r="AS116" s="398"/>
      <c r="AT116" s="398"/>
      <c r="AU116" s="398"/>
    </row>
    <row r="117" spans="1:47" hidden="1">
      <c r="A117" s="183"/>
      <c r="B117" s="181" t="str">
        <f>B11</f>
        <v>Sales-based document collaboration Efficiency</v>
      </c>
      <c r="C117" s="181" t="str">
        <f t="shared" si="15"/>
        <v>Sales - Sales-based document collaboration Efficiency</v>
      </c>
      <c r="D117" s="181" t="s">
        <v>723</v>
      </c>
      <c r="E117" s="398"/>
      <c r="F117" s="398"/>
      <c r="G117" s="398"/>
      <c r="H117" s="398"/>
      <c r="I117" s="398"/>
      <c r="J117" s="398"/>
      <c r="K117" s="398"/>
      <c r="L117" s="398"/>
      <c r="M117" s="398"/>
      <c r="N117" s="398"/>
      <c r="O117" s="398"/>
      <c r="P117" s="398"/>
      <c r="Q117" s="398"/>
      <c r="R117" s="398"/>
      <c r="S117" s="398"/>
      <c r="T117" s="398"/>
      <c r="U117" s="398"/>
      <c r="V117" s="398"/>
      <c r="W117" s="398"/>
      <c r="X117" s="398"/>
      <c r="Y117" s="398"/>
      <c r="Z117" s="398"/>
      <c r="AA117" s="398"/>
      <c r="AB117" s="398"/>
      <c r="AC117" s="398"/>
      <c r="AD117" s="398"/>
      <c r="AE117" s="398"/>
      <c r="AF117" s="398"/>
      <c r="AG117" s="398"/>
      <c r="AH117" s="398"/>
      <c r="AI117" s="398"/>
      <c r="AJ117" s="398"/>
      <c r="AK117" s="398"/>
      <c r="AL117" s="398"/>
      <c r="AM117" s="398"/>
      <c r="AN117" s="398"/>
      <c r="AO117" s="398"/>
      <c r="AP117" s="398"/>
      <c r="AQ117" s="398"/>
      <c r="AR117" s="398"/>
      <c r="AS117" s="398"/>
      <c r="AT117" s="398"/>
      <c r="AU117" s="398"/>
    </row>
    <row r="118" spans="1:47" hidden="1">
      <c r="A118" s="183"/>
      <c r="B118" s="181" t="str">
        <f t="shared" ref="B118:B124" si="16">B13</f>
        <v>Decision-Making Speed / Reaction Time to Market Event/Opportunity</v>
      </c>
      <c r="C118" s="181" t="str">
        <f t="shared" si="15"/>
        <v>Mgmt - Decision-Making Speed / Reaction Time to Market Event/Opportunity</v>
      </c>
      <c r="D118" s="181" t="s">
        <v>724</v>
      </c>
      <c r="E118" s="398"/>
      <c r="F118" s="398"/>
      <c r="G118" s="398"/>
      <c r="H118" s="398"/>
      <c r="I118" s="398"/>
      <c r="J118" s="398"/>
      <c r="K118" s="398"/>
      <c r="L118" s="398"/>
      <c r="M118" s="398"/>
      <c r="N118" s="398"/>
      <c r="O118" s="398"/>
      <c r="P118" s="398"/>
      <c r="Q118" s="398"/>
      <c r="R118" s="398"/>
      <c r="S118" s="398"/>
      <c r="T118" s="398"/>
      <c r="U118" s="398"/>
      <c r="V118" s="398"/>
      <c r="W118" s="398"/>
      <c r="X118" s="398"/>
      <c r="Y118" s="398"/>
      <c r="Z118" s="398"/>
      <c r="AA118" s="398"/>
      <c r="AB118" s="398"/>
      <c r="AC118" s="398"/>
      <c r="AD118" s="398"/>
      <c r="AE118" s="398"/>
      <c r="AF118" s="398"/>
      <c r="AG118" s="398"/>
      <c r="AH118" s="398"/>
      <c r="AI118" s="398"/>
      <c r="AJ118" s="398"/>
      <c r="AK118" s="398"/>
      <c r="AL118" s="398"/>
      <c r="AM118" s="398"/>
      <c r="AN118" s="398"/>
      <c r="AO118" s="398"/>
      <c r="AP118" s="398"/>
      <c r="AQ118" s="398"/>
      <c r="AR118" s="398"/>
      <c r="AS118" s="398"/>
      <c r="AT118" s="398"/>
      <c r="AU118" s="398"/>
    </row>
    <row r="119" spans="1:47" hidden="1">
      <c r="A119" s="183"/>
      <c r="B119" s="181" t="str">
        <f t="shared" si="16"/>
        <v>Business Visibility</v>
      </c>
      <c r="C119" s="181" t="str">
        <f t="shared" si="15"/>
        <v>Mgmt - Business Visibility</v>
      </c>
      <c r="D119" s="181" t="s">
        <v>724</v>
      </c>
      <c r="E119" s="398"/>
      <c r="F119" s="398"/>
      <c r="G119" s="398"/>
      <c r="H119" s="398"/>
      <c r="I119" s="398"/>
      <c r="J119" s="398"/>
      <c r="K119" s="398"/>
      <c r="L119" s="398"/>
      <c r="M119" s="398"/>
      <c r="N119" s="398"/>
      <c r="O119" s="398"/>
      <c r="P119" s="398"/>
      <c r="Q119" s="398"/>
      <c r="R119" s="398"/>
      <c r="S119" s="398"/>
      <c r="T119" s="398"/>
      <c r="U119" s="398"/>
      <c r="V119" s="398"/>
      <c r="W119" s="398"/>
      <c r="X119" s="398"/>
      <c r="Y119" s="398"/>
      <c r="Z119" s="398"/>
      <c r="AA119" s="398"/>
      <c r="AB119" s="398"/>
      <c r="AC119" s="398"/>
      <c r="AD119" s="398"/>
      <c r="AE119" s="398"/>
      <c r="AF119" s="398"/>
      <c r="AG119" s="398"/>
      <c r="AH119" s="398"/>
      <c r="AI119" s="398"/>
      <c r="AJ119" s="398"/>
      <c r="AK119" s="398"/>
      <c r="AL119" s="398"/>
      <c r="AM119" s="398"/>
      <c r="AN119" s="398"/>
      <c r="AO119" s="398"/>
      <c r="AP119" s="398"/>
      <c r="AQ119" s="398"/>
      <c r="AR119" s="398"/>
      <c r="AS119" s="398"/>
      <c r="AT119" s="398"/>
      <c r="AU119" s="398"/>
    </row>
    <row r="120" spans="1:47" hidden="1">
      <c r="A120" s="183"/>
      <c r="B120" s="181" t="str">
        <f t="shared" si="16"/>
        <v>Business Alignment</v>
      </c>
      <c r="C120" s="181" t="str">
        <f t="shared" si="15"/>
        <v>Mgmt - Business Alignment</v>
      </c>
      <c r="D120" s="181" t="s">
        <v>724</v>
      </c>
      <c r="E120" s="398"/>
      <c r="F120" s="398"/>
      <c r="G120" s="398"/>
      <c r="H120" s="398"/>
      <c r="I120" s="398"/>
      <c r="J120" s="398"/>
      <c r="K120" s="398"/>
      <c r="L120" s="398"/>
      <c r="M120" s="398"/>
      <c r="N120" s="398"/>
      <c r="O120" s="398"/>
      <c r="P120" s="398"/>
      <c r="Q120" s="398"/>
      <c r="R120" s="398"/>
      <c r="S120" s="398"/>
      <c r="T120" s="398"/>
      <c r="U120" s="398"/>
      <c r="V120" s="398"/>
      <c r="W120" s="398"/>
      <c r="X120" s="398"/>
      <c r="Y120" s="398"/>
      <c r="Z120" s="398"/>
      <c r="AA120" s="398"/>
      <c r="AB120" s="398"/>
      <c r="AC120" s="398"/>
      <c r="AD120" s="398"/>
      <c r="AE120" s="398"/>
      <c r="AF120" s="398"/>
      <c r="AG120" s="398"/>
      <c r="AH120" s="398"/>
      <c r="AI120" s="398"/>
      <c r="AJ120" s="398"/>
      <c r="AK120" s="398"/>
      <c r="AL120" s="398"/>
      <c r="AM120" s="398"/>
      <c r="AN120" s="398"/>
      <c r="AO120" s="398"/>
      <c r="AP120" s="398"/>
      <c r="AQ120" s="398"/>
      <c r="AR120" s="398"/>
      <c r="AS120" s="398"/>
      <c r="AT120" s="398"/>
      <c r="AU120" s="398"/>
    </row>
    <row r="121" spans="1:47" hidden="1">
      <c r="A121" s="183"/>
      <c r="B121" s="181" t="str">
        <f t="shared" si="16"/>
        <v>Decision-Making Effectiveness</v>
      </c>
      <c r="C121" s="181" t="str">
        <f t="shared" si="15"/>
        <v>Mgmt - Decision-Making Effectiveness</v>
      </c>
      <c r="D121" s="181" t="s">
        <v>724</v>
      </c>
      <c r="E121" s="398"/>
      <c r="F121" s="398"/>
      <c r="G121" s="398"/>
      <c r="H121" s="398"/>
      <c r="I121" s="398"/>
      <c r="J121" s="398"/>
      <c r="K121" s="398"/>
      <c r="L121" s="398"/>
      <c r="M121" s="398"/>
      <c r="N121" s="398"/>
      <c r="O121" s="398"/>
      <c r="P121" s="398"/>
      <c r="Q121" s="398"/>
      <c r="R121" s="398"/>
      <c r="S121" s="398"/>
      <c r="T121" s="398"/>
      <c r="U121" s="398"/>
      <c r="V121" s="398"/>
      <c r="W121" s="398"/>
      <c r="X121" s="398"/>
      <c r="Y121" s="398"/>
      <c r="Z121" s="398"/>
      <c r="AA121" s="398"/>
      <c r="AB121" s="398"/>
      <c r="AC121" s="398"/>
      <c r="AD121" s="398"/>
      <c r="AE121" s="398"/>
      <c r="AF121" s="398"/>
      <c r="AG121" s="398"/>
      <c r="AH121" s="398"/>
      <c r="AI121" s="398"/>
      <c r="AJ121" s="398"/>
      <c r="AK121" s="398"/>
      <c r="AL121" s="398"/>
      <c r="AM121" s="398"/>
      <c r="AN121" s="398"/>
      <c r="AO121" s="398"/>
      <c r="AP121" s="398"/>
      <c r="AQ121" s="398"/>
      <c r="AR121" s="398"/>
      <c r="AS121" s="398"/>
      <c r="AT121" s="398"/>
      <c r="AU121" s="398"/>
    </row>
    <row r="122" spans="1:47" hidden="1">
      <c r="A122" s="183"/>
      <c r="B122" s="181" t="str">
        <f t="shared" si="16"/>
        <v>Information Availability</v>
      </c>
      <c r="C122" s="181" t="str">
        <f t="shared" si="15"/>
        <v>Mgmt - Information Availability</v>
      </c>
      <c r="D122" s="181" t="s">
        <v>724</v>
      </c>
      <c r="E122" s="398"/>
      <c r="F122" s="398"/>
      <c r="G122" s="398"/>
      <c r="H122" s="398"/>
      <c r="I122" s="398"/>
      <c r="J122" s="398"/>
      <c r="K122" s="398"/>
      <c r="L122" s="398"/>
      <c r="M122" s="398"/>
      <c r="N122" s="398"/>
      <c r="O122" s="398"/>
      <c r="P122" s="398"/>
      <c r="Q122" s="398"/>
      <c r="R122" s="398"/>
      <c r="S122" s="398"/>
      <c r="T122" s="398"/>
      <c r="U122" s="398"/>
      <c r="V122" s="398"/>
      <c r="W122" s="398"/>
      <c r="X122" s="398"/>
      <c r="Y122" s="398"/>
      <c r="Z122" s="398"/>
      <c r="AA122" s="398"/>
      <c r="AB122" s="398"/>
      <c r="AC122" s="398"/>
      <c r="AD122" s="398"/>
      <c r="AE122" s="398"/>
      <c r="AF122" s="398"/>
      <c r="AG122" s="398"/>
      <c r="AH122" s="398"/>
      <c r="AI122" s="398"/>
      <c r="AJ122" s="398"/>
      <c r="AK122" s="398"/>
      <c r="AL122" s="398"/>
      <c r="AM122" s="398"/>
      <c r="AN122" s="398"/>
      <c r="AO122" s="398"/>
      <c r="AP122" s="398"/>
      <c r="AQ122" s="398"/>
      <c r="AR122" s="398"/>
      <c r="AS122" s="398"/>
      <c r="AT122" s="398"/>
      <c r="AU122" s="398"/>
    </row>
    <row r="123" spans="1:47" hidden="1">
      <c r="A123" s="183"/>
      <c r="B123" s="181" t="str">
        <f t="shared" si="16"/>
        <v>Information Quality</v>
      </c>
      <c r="C123" s="181" t="str">
        <f t="shared" si="15"/>
        <v>Mgmt - Information Quality</v>
      </c>
      <c r="D123" s="181" t="s">
        <v>724</v>
      </c>
      <c r="E123" s="398"/>
      <c r="F123" s="398"/>
      <c r="G123" s="398"/>
      <c r="H123" s="398"/>
      <c r="I123" s="398"/>
      <c r="J123" s="398"/>
      <c r="K123" s="398"/>
      <c r="L123" s="398"/>
      <c r="M123" s="398"/>
      <c r="N123" s="398"/>
      <c r="O123" s="398"/>
      <c r="P123" s="398"/>
      <c r="Q123" s="398"/>
      <c r="R123" s="398"/>
      <c r="S123" s="398"/>
      <c r="T123" s="398"/>
      <c r="U123" s="398"/>
      <c r="V123" s="398"/>
      <c r="W123" s="398"/>
      <c r="X123" s="398"/>
      <c r="Y123" s="398"/>
      <c r="Z123" s="398"/>
      <c r="AA123" s="398"/>
      <c r="AB123" s="398"/>
      <c r="AC123" s="398"/>
      <c r="AD123" s="398"/>
      <c r="AE123" s="398"/>
      <c r="AF123" s="398"/>
      <c r="AG123" s="398"/>
      <c r="AH123" s="398"/>
      <c r="AI123" s="398"/>
      <c r="AJ123" s="398"/>
      <c r="AK123" s="398"/>
      <c r="AL123" s="398"/>
      <c r="AM123" s="398"/>
      <c r="AN123" s="398"/>
      <c r="AO123" s="398"/>
      <c r="AP123" s="398"/>
      <c r="AQ123" s="398"/>
      <c r="AR123" s="398"/>
      <c r="AS123" s="398"/>
      <c r="AT123" s="398"/>
      <c r="AU123" s="398"/>
    </row>
    <row r="124" spans="1:47" hidden="1">
      <c r="A124" s="183"/>
      <c r="B124" s="181" t="str">
        <f t="shared" si="16"/>
        <v>Analysis/reporting Time</v>
      </c>
      <c r="C124" s="181" t="str">
        <f>D124&amp;" - "&amp;B124</f>
        <v>Mgmt - Analysis/reporting Time</v>
      </c>
      <c r="D124" s="181" t="s">
        <v>724</v>
      </c>
      <c r="E124" s="398"/>
      <c r="F124" s="398"/>
      <c r="G124" s="398"/>
      <c r="H124" s="398"/>
      <c r="I124" s="398"/>
      <c r="J124" s="398"/>
      <c r="K124" s="398"/>
      <c r="L124" s="398"/>
      <c r="M124" s="398"/>
      <c r="N124" s="398"/>
      <c r="O124" s="398"/>
      <c r="P124" s="398"/>
      <c r="Q124" s="398"/>
      <c r="R124" s="398"/>
      <c r="S124" s="398"/>
      <c r="T124" s="398"/>
      <c r="U124" s="398"/>
      <c r="V124" s="398"/>
      <c r="W124" s="398"/>
      <c r="X124" s="398"/>
      <c r="Y124" s="398"/>
      <c r="Z124" s="398"/>
      <c r="AA124" s="398"/>
      <c r="AB124" s="398"/>
      <c r="AC124" s="398"/>
      <c r="AD124" s="398"/>
      <c r="AE124" s="398"/>
      <c r="AF124" s="398"/>
      <c r="AG124" s="398"/>
      <c r="AH124" s="398"/>
      <c r="AI124" s="398"/>
      <c r="AJ124" s="398"/>
      <c r="AK124" s="398"/>
      <c r="AL124" s="398"/>
      <c r="AM124" s="398"/>
      <c r="AN124" s="398"/>
      <c r="AO124" s="398"/>
      <c r="AP124" s="398"/>
      <c r="AQ124" s="398"/>
      <c r="AR124" s="398"/>
      <c r="AS124" s="398"/>
      <c r="AT124" s="398"/>
      <c r="AU124" s="398"/>
    </row>
    <row r="125" spans="1:47" hidden="1">
      <c r="A125" s="183"/>
      <c r="B125" s="181" t="str">
        <f t="shared" ref="B125:B130" si="17">B21</f>
        <v>Quality of Products/Services</v>
      </c>
      <c r="C125" s="181" t="str">
        <f t="shared" si="15"/>
        <v>Ops - Quality of Products/Services</v>
      </c>
      <c r="D125" s="181" t="s">
        <v>725</v>
      </c>
      <c r="E125" s="398"/>
      <c r="F125" s="398"/>
      <c r="G125" s="398"/>
      <c r="H125" s="398"/>
      <c r="I125" s="398"/>
      <c r="J125" s="398"/>
      <c r="K125" s="398"/>
      <c r="L125" s="398"/>
      <c r="M125" s="398"/>
      <c r="N125" s="398"/>
      <c r="O125" s="398"/>
      <c r="P125" s="398"/>
      <c r="Q125" s="398"/>
      <c r="R125" s="398"/>
      <c r="S125" s="398"/>
      <c r="T125" s="398"/>
      <c r="U125" s="398"/>
      <c r="V125" s="398"/>
      <c r="W125" s="398"/>
      <c r="X125" s="398"/>
      <c r="Y125" s="398"/>
      <c r="Z125" s="398"/>
      <c r="AA125" s="398"/>
      <c r="AB125" s="398"/>
      <c r="AC125" s="398"/>
      <c r="AD125" s="398"/>
      <c r="AE125" s="398"/>
      <c r="AF125" s="398"/>
      <c r="AG125" s="398"/>
      <c r="AH125" s="398"/>
      <c r="AI125" s="398"/>
      <c r="AJ125" s="398"/>
      <c r="AK125" s="398"/>
      <c r="AL125" s="398"/>
      <c r="AM125" s="398"/>
      <c r="AN125" s="398"/>
      <c r="AO125" s="398"/>
      <c r="AP125" s="398"/>
      <c r="AQ125" s="398"/>
      <c r="AR125" s="398"/>
      <c r="AS125" s="398"/>
      <c r="AT125" s="398"/>
      <c r="AU125" s="398"/>
    </row>
    <row r="126" spans="1:47" hidden="1">
      <c r="A126" s="183"/>
      <c r="B126" s="181" t="str">
        <f t="shared" si="17"/>
        <v>Defect rate</v>
      </c>
      <c r="C126" s="181" t="str">
        <f t="shared" si="15"/>
        <v>Ops - Defect rate</v>
      </c>
      <c r="D126" s="181" t="s">
        <v>725</v>
      </c>
      <c r="E126" s="398"/>
      <c r="F126" s="398"/>
      <c r="G126" s="398"/>
      <c r="H126" s="398"/>
      <c r="I126" s="398"/>
      <c r="J126" s="398"/>
      <c r="K126" s="398"/>
      <c r="L126" s="398"/>
      <c r="M126" s="398"/>
      <c r="N126" s="398"/>
      <c r="O126" s="398"/>
      <c r="P126" s="398"/>
      <c r="Q126" s="398"/>
      <c r="R126" s="398"/>
      <c r="S126" s="398"/>
      <c r="T126" s="398"/>
      <c r="U126" s="398"/>
      <c r="V126" s="398"/>
      <c r="W126" s="398"/>
      <c r="X126" s="398"/>
      <c r="Y126" s="398"/>
      <c r="Z126" s="398"/>
      <c r="AA126" s="398"/>
      <c r="AB126" s="398"/>
      <c r="AC126" s="398"/>
      <c r="AD126" s="398"/>
      <c r="AE126" s="398"/>
      <c r="AF126" s="398"/>
      <c r="AG126" s="398"/>
      <c r="AH126" s="398"/>
      <c r="AI126" s="398"/>
      <c r="AJ126" s="398"/>
      <c r="AK126" s="398"/>
      <c r="AL126" s="398"/>
      <c r="AM126" s="398"/>
      <c r="AN126" s="398"/>
      <c r="AO126" s="398"/>
      <c r="AP126" s="398"/>
      <c r="AQ126" s="398"/>
      <c r="AR126" s="398"/>
      <c r="AS126" s="398"/>
      <c r="AT126" s="398"/>
      <c r="AU126" s="398"/>
    </row>
    <row r="127" spans="1:47" hidden="1">
      <c r="A127" s="183"/>
      <c r="B127" s="181" t="str">
        <f t="shared" si="17"/>
        <v>Forecast Accuracy</v>
      </c>
      <c r="C127" s="181" t="str">
        <f t="shared" si="15"/>
        <v>Ops - Forecast Accuracy</v>
      </c>
      <c r="D127" s="181" t="s">
        <v>725</v>
      </c>
      <c r="E127" s="398"/>
      <c r="F127" s="398"/>
      <c r="G127" s="398"/>
      <c r="H127" s="398"/>
      <c r="I127" s="398"/>
      <c r="J127" s="398"/>
      <c r="K127" s="398"/>
      <c r="L127" s="398"/>
      <c r="M127" s="398"/>
      <c r="N127" s="398"/>
      <c r="O127" s="398"/>
      <c r="P127" s="398"/>
      <c r="Q127" s="398"/>
      <c r="R127" s="398"/>
      <c r="S127" s="398"/>
      <c r="T127" s="398"/>
      <c r="U127" s="398"/>
      <c r="V127" s="398"/>
      <c r="W127" s="398"/>
      <c r="X127" s="398"/>
      <c r="Y127" s="398"/>
      <c r="Z127" s="398"/>
      <c r="AA127" s="398"/>
      <c r="AB127" s="398"/>
      <c r="AC127" s="398"/>
      <c r="AD127" s="398"/>
      <c r="AE127" s="398"/>
      <c r="AF127" s="398"/>
      <c r="AG127" s="398"/>
      <c r="AH127" s="398"/>
      <c r="AI127" s="398"/>
      <c r="AJ127" s="398"/>
      <c r="AK127" s="398"/>
      <c r="AL127" s="398"/>
      <c r="AM127" s="398"/>
      <c r="AN127" s="398"/>
      <c r="AO127" s="398"/>
      <c r="AP127" s="398"/>
      <c r="AQ127" s="398"/>
      <c r="AR127" s="398"/>
      <c r="AS127" s="398"/>
      <c r="AT127" s="398"/>
      <c r="AU127" s="398"/>
    </row>
    <row r="128" spans="1:47" hidden="1">
      <c r="A128" s="183"/>
      <c r="B128" s="181" t="str">
        <f t="shared" si="17"/>
        <v>Supply Chain Effectiveness</v>
      </c>
      <c r="C128" s="181" t="str">
        <f t="shared" si="15"/>
        <v>Ops - Supply Chain Effectiveness</v>
      </c>
      <c r="D128" s="181" t="s">
        <v>725</v>
      </c>
      <c r="E128" s="398"/>
      <c r="F128" s="398"/>
      <c r="G128" s="398"/>
      <c r="H128" s="398"/>
      <c r="I128" s="398"/>
      <c r="J128" s="398"/>
      <c r="K128" s="398"/>
      <c r="L128" s="398"/>
      <c r="M128" s="398"/>
      <c r="N128" s="398"/>
      <c r="O128" s="398"/>
      <c r="P128" s="398"/>
      <c r="Q128" s="398"/>
      <c r="R128" s="398"/>
      <c r="S128" s="398"/>
      <c r="T128" s="398"/>
      <c r="U128" s="398"/>
      <c r="V128" s="398"/>
      <c r="W128" s="398"/>
      <c r="X128" s="398"/>
      <c r="Y128" s="398"/>
      <c r="Z128" s="398"/>
      <c r="AA128" s="398"/>
      <c r="AB128" s="398"/>
      <c r="AC128" s="398"/>
      <c r="AD128" s="398"/>
      <c r="AE128" s="398"/>
      <c r="AF128" s="398"/>
      <c r="AG128" s="398"/>
      <c r="AH128" s="398"/>
      <c r="AI128" s="398"/>
      <c r="AJ128" s="398"/>
      <c r="AK128" s="398"/>
      <c r="AL128" s="398"/>
      <c r="AM128" s="398"/>
      <c r="AN128" s="398"/>
      <c r="AO128" s="398"/>
      <c r="AP128" s="398"/>
      <c r="AQ128" s="398"/>
      <c r="AR128" s="398"/>
      <c r="AS128" s="398"/>
      <c r="AT128" s="398"/>
      <c r="AU128" s="398"/>
    </row>
    <row r="129" spans="1:47" hidden="1">
      <c r="A129" s="183"/>
      <c r="B129" s="181" t="str">
        <f t="shared" si="17"/>
        <v>Cash Cycle Time</v>
      </c>
      <c r="C129" s="181" t="str">
        <f t="shared" si="15"/>
        <v>Ops - Cash Cycle Time</v>
      </c>
      <c r="D129" s="181" t="s">
        <v>725</v>
      </c>
      <c r="E129" s="398"/>
      <c r="F129" s="398"/>
      <c r="G129" s="398"/>
      <c r="H129" s="398"/>
      <c r="I129" s="398"/>
      <c r="J129" s="398"/>
      <c r="K129" s="398"/>
      <c r="L129" s="398"/>
      <c r="M129" s="398"/>
      <c r="N129" s="398"/>
      <c r="O129" s="398"/>
      <c r="P129" s="398"/>
      <c r="Q129" s="398"/>
      <c r="R129" s="398"/>
      <c r="S129" s="398"/>
      <c r="T129" s="398"/>
      <c r="U129" s="398"/>
      <c r="V129" s="398"/>
      <c r="W129" s="398"/>
      <c r="X129" s="398"/>
      <c r="Y129" s="398"/>
      <c r="Z129" s="398"/>
      <c r="AA129" s="398"/>
      <c r="AB129" s="398"/>
      <c r="AC129" s="398"/>
      <c r="AD129" s="398"/>
      <c r="AE129" s="398"/>
      <c r="AF129" s="398"/>
      <c r="AG129" s="398"/>
      <c r="AH129" s="398"/>
      <c r="AI129" s="398"/>
      <c r="AJ129" s="398"/>
      <c r="AK129" s="398"/>
      <c r="AL129" s="398"/>
      <c r="AM129" s="398"/>
      <c r="AN129" s="398"/>
      <c r="AO129" s="398"/>
      <c r="AP129" s="398"/>
      <c r="AQ129" s="398"/>
      <c r="AR129" s="398"/>
      <c r="AS129" s="398"/>
      <c r="AT129" s="398"/>
      <c r="AU129" s="398"/>
    </row>
    <row r="130" spans="1:47" s="75" customFormat="1" hidden="1">
      <c r="A130" s="183"/>
      <c r="B130" s="181" t="str">
        <f t="shared" si="17"/>
        <v>Compliance</v>
      </c>
      <c r="C130" s="181" t="str">
        <f>D130&amp;" - "&amp;B130</f>
        <v>Ops - Compliance</v>
      </c>
      <c r="D130" s="181" t="s">
        <v>725</v>
      </c>
      <c r="E130" s="398"/>
      <c r="F130" s="398"/>
      <c r="G130" s="398"/>
      <c r="H130" s="398"/>
      <c r="I130" s="398"/>
      <c r="J130" s="398"/>
      <c r="K130" s="398"/>
      <c r="L130" s="398"/>
      <c r="M130" s="398"/>
      <c r="N130" s="398"/>
      <c r="O130" s="398"/>
      <c r="P130" s="398"/>
      <c r="Q130" s="398"/>
      <c r="R130" s="398"/>
      <c r="S130" s="398"/>
      <c r="T130" s="398"/>
      <c r="U130" s="398"/>
      <c r="V130" s="398"/>
      <c r="W130" s="398"/>
      <c r="X130" s="398"/>
      <c r="Y130" s="398"/>
      <c r="Z130" s="398"/>
      <c r="AA130" s="398"/>
      <c r="AB130" s="398"/>
      <c r="AC130" s="398"/>
      <c r="AD130" s="398"/>
      <c r="AE130" s="398"/>
      <c r="AF130" s="398"/>
      <c r="AG130" s="398"/>
      <c r="AH130" s="398"/>
      <c r="AI130" s="398"/>
      <c r="AJ130" s="398"/>
      <c r="AK130" s="398"/>
      <c r="AL130" s="398"/>
      <c r="AM130" s="398"/>
      <c r="AN130" s="398"/>
      <c r="AO130" s="398"/>
      <c r="AP130" s="398"/>
      <c r="AQ130" s="398"/>
      <c r="AR130" s="398"/>
      <c r="AS130" s="398"/>
      <c r="AT130" s="398"/>
      <c r="AU130" s="398"/>
    </row>
    <row r="131" spans="1:47" hidden="1">
      <c r="A131" s="183"/>
      <c r="B131" s="181" t="str">
        <f>B27</f>
        <v>Project management effectiveness</v>
      </c>
      <c r="C131" s="181" t="str">
        <f t="shared" si="15"/>
        <v>Ops - Project management effectiveness</v>
      </c>
      <c r="D131" s="181" t="s">
        <v>725</v>
      </c>
      <c r="E131" s="398"/>
      <c r="F131" s="398"/>
      <c r="G131" s="398"/>
      <c r="H131" s="398"/>
      <c r="I131" s="398"/>
      <c r="J131" s="398"/>
      <c r="K131" s="398"/>
      <c r="L131" s="398"/>
      <c r="M131" s="398"/>
      <c r="N131" s="398"/>
      <c r="O131" s="398"/>
      <c r="P131" s="398"/>
      <c r="Q131" s="398"/>
      <c r="R131" s="398"/>
      <c r="S131" s="398"/>
      <c r="T131" s="398"/>
      <c r="U131" s="398"/>
      <c r="V131" s="398"/>
      <c r="W131" s="398"/>
      <c r="X131" s="398"/>
      <c r="Y131" s="398"/>
      <c r="Z131" s="398"/>
      <c r="AA131" s="398"/>
      <c r="AB131" s="398"/>
      <c r="AC131" s="398"/>
      <c r="AD131" s="398"/>
      <c r="AE131" s="398"/>
      <c r="AF131" s="398"/>
      <c r="AG131" s="398"/>
      <c r="AH131" s="398"/>
      <c r="AI131" s="398"/>
      <c r="AJ131" s="398"/>
      <c r="AK131" s="398"/>
      <c r="AL131" s="398"/>
      <c r="AM131" s="398"/>
      <c r="AN131" s="398"/>
      <c r="AO131" s="398"/>
      <c r="AP131" s="398"/>
      <c r="AQ131" s="398"/>
      <c r="AR131" s="398"/>
      <c r="AS131" s="398"/>
      <c r="AT131" s="398"/>
      <c r="AU131" s="398"/>
    </row>
    <row r="132" spans="1:47" hidden="1">
      <c r="A132" s="183"/>
      <c r="B132" s="181" t="str">
        <f t="shared" ref="B132:B138" si="18">B29</f>
        <v>Records Compliance (centralized content control)</v>
      </c>
      <c r="C132" s="181" t="str">
        <f t="shared" si="15"/>
        <v>Tech - Records Compliance (centralized content control)</v>
      </c>
      <c r="D132" s="181" t="s">
        <v>726</v>
      </c>
      <c r="E132" s="398"/>
      <c r="F132" s="398"/>
      <c r="G132" s="398"/>
      <c r="H132" s="398"/>
      <c r="I132" s="398"/>
      <c r="J132" s="398"/>
      <c r="K132" s="398"/>
      <c r="L132" s="398"/>
      <c r="M132" s="398"/>
      <c r="N132" s="398"/>
      <c r="O132" s="398"/>
      <c r="P132" s="398"/>
      <c r="Q132" s="398"/>
      <c r="R132" s="398"/>
      <c r="S132" s="398"/>
      <c r="T132" s="398"/>
      <c r="U132" s="398"/>
      <c r="V132" s="398"/>
      <c r="W132" s="398"/>
      <c r="X132" s="398"/>
      <c r="Y132" s="398"/>
      <c r="Z132" s="398"/>
      <c r="AA132" s="398"/>
      <c r="AB132" s="398"/>
      <c r="AC132" s="398"/>
      <c r="AD132" s="398"/>
      <c r="AE132" s="398"/>
      <c r="AF132" s="398"/>
      <c r="AG132" s="398"/>
      <c r="AH132" s="398"/>
      <c r="AI132" s="398"/>
      <c r="AJ132" s="398"/>
      <c r="AK132" s="398"/>
      <c r="AL132" s="398"/>
      <c r="AM132" s="398"/>
      <c r="AN132" s="398"/>
      <c r="AO132" s="398"/>
      <c r="AP132" s="398"/>
      <c r="AQ132" s="398"/>
      <c r="AR132" s="398"/>
      <c r="AS132" s="398"/>
      <c r="AT132" s="398"/>
      <c r="AU132" s="398"/>
    </row>
    <row r="133" spans="1:47" hidden="1">
      <c r="A133" s="183"/>
      <c r="B133" s="181" t="str">
        <f t="shared" si="18"/>
        <v>Service Level Agreement Performance</v>
      </c>
      <c r="C133" s="181" t="str">
        <f t="shared" si="15"/>
        <v>Tech - Service Level Agreement Performance</v>
      </c>
      <c r="D133" s="181" t="s">
        <v>726</v>
      </c>
      <c r="E133" s="398"/>
      <c r="F133" s="398"/>
      <c r="G133" s="398"/>
      <c r="H133" s="398"/>
      <c r="I133" s="398"/>
      <c r="J133" s="398"/>
      <c r="K133" s="398"/>
      <c r="L133" s="398"/>
      <c r="M133" s="398"/>
      <c r="N133" s="398"/>
      <c r="O133" s="398"/>
      <c r="P133" s="398"/>
      <c r="Q133" s="398"/>
      <c r="R133" s="398"/>
      <c r="S133" s="398"/>
      <c r="T133" s="398"/>
      <c r="U133" s="398"/>
      <c r="V133" s="398"/>
      <c r="W133" s="398"/>
      <c r="X133" s="398"/>
      <c r="Y133" s="398"/>
      <c r="Z133" s="398"/>
      <c r="AA133" s="398"/>
      <c r="AB133" s="398"/>
      <c r="AC133" s="398"/>
      <c r="AD133" s="398"/>
      <c r="AE133" s="398"/>
      <c r="AF133" s="398"/>
      <c r="AG133" s="398"/>
      <c r="AH133" s="398"/>
      <c r="AI133" s="398"/>
      <c r="AJ133" s="398"/>
      <c r="AK133" s="398"/>
      <c r="AL133" s="398"/>
      <c r="AM133" s="398"/>
      <c r="AN133" s="398"/>
      <c r="AO133" s="398"/>
      <c r="AP133" s="398"/>
      <c r="AQ133" s="398"/>
      <c r="AR133" s="398"/>
      <c r="AS133" s="398"/>
      <c r="AT133" s="398"/>
      <c r="AU133" s="398"/>
    </row>
    <row r="134" spans="1:47" hidden="1">
      <c r="A134" s="183"/>
      <c r="B134" s="181" t="str">
        <f t="shared" si="18"/>
        <v>Maturity Level</v>
      </c>
      <c r="C134" s="181" t="str">
        <f t="shared" si="15"/>
        <v>Tech - Maturity Level</v>
      </c>
      <c r="D134" s="181" t="s">
        <v>726</v>
      </c>
      <c r="E134" s="398"/>
      <c r="F134" s="398"/>
      <c r="G134" s="398"/>
      <c r="H134" s="398"/>
      <c r="I134" s="398"/>
      <c r="J134" s="398"/>
      <c r="K134" s="398"/>
      <c r="L134" s="398"/>
      <c r="M134" s="398"/>
      <c r="N134" s="398"/>
      <c r="O134" s="398"/>
      <c r="P134" s="398"/>
      <c r="Q134" s="398"/>
      <c r="R134" s="398"/>
      <c r="S134" s="398"/>
      <c r="T134" s="398"/>
      <c r="U134" s="398"/>
      <c r="V134" s="398"/>
      <c r="W134" s="398"/>
      <c r="X134" s="398"/>
      <c r="Y134" s="398"/>
      <c r="Z134" s="398"/>
      <c r="AA134" s="398"/>
      <c r="AB134" s="398"/>
      <c r="AC134" s="398"/>
      <c r="AD134" s="398"/>
      <c r="AE134" s="398"/>
      <c r="AF134" s="398"/>
      <c r="AG134" s="398"/>
      <c r="AH134" s="398"/>
      <c r="AI134" s="398"/>
      <c r="AJ134" s="398"/>
      <c r="AK134" s="398"/>
      <c r="AL134" s="398"/>
      <c r="AM134" s="398"/>
      <c r="AN134" s="398"/>
      <c r="AO134" s="398"/>
      <c r="AP134" s="398"/>
      <c r="AQ134" s="398"/>
      <c r="AR134" s="398"/>
      <c r="AS134" s="398"/>
      <c r="AT134" s="398"/>
      <c r="AU134" s="398"/>
    </row>
    <row r="135" spans="1:47" hidden="1">
      <c r="A135" s="183"/>
      <c r="B135" s="181" t="str">
        <f t="shared" si="18"/>
        <v>System response time</v>
      </c>
      <c r="C135" s="181" t="str">
        <f t="shared" si="15"/>
        <v>Tech - System response time</v>
      </c>
      <c r="D135" s="181" t="s">
        <v>726</v>
      </c>
      <c r="E135" s="398"/>
      <c r="F135" s="398"/>
      <c r="G135" s="398"/>
      <c r="H135" s="398"/>
      <c r="I135" s="398"/>
      <c r="J135" s="398"/>
      <c r="K135" s="398"/>
      <c r="L135" s="398"/>
      <c r="M135" s="398"/>
      <c r="N135" s="398"/>
      <c r="O135" s="398"/>
      <c r="P135" s="398"/>
      <c r="Q135" s="398"/>
      <c r="R135" s="398"/>
      <c r="S135" s="398"/>
      <c r="T135" s="398"/>
      <c r="U135" s="398"/>
      <c r="V135" s="398"/>
      <c r="W135" s="398"/>
      <c r="X135" s="398"/>
      <c r="Y135" s="398"/>
      <c r="Z135" s="398"/>
      <c r="AA135" s="398"/>
      <c r="AB135" s="398"/>
      <c r="AC135" s="398"/>
      <c r="AD135" s="398"/>
      <c r="AE135" s="398"/>
      <c r="AF135" s="398"/>
      <c r="AG135" s="398"/>
      <c r="AH135" s="398"/>
      <c r="AI135" s="398"/>
      <c r="AJ135" s="398"/>
      <c r="AK135" s="398"/>
      <c r="AL135" s="398"/>
      <c r="AM135" s="398"/>
      <c r="AN135" s="398"/>
      <c r="AO135" s="398"/>
      <c r="AP135" s="398"/>
      <c r="AQ135" s="398"/>
      <c r="AR135" s="398"/>
      <c r="AS135" s="398"/>
      <c r="AT135" s="398"/>
      <c r="AU135" s="398"/>
    </row>
    <row r="136" spans="1:47" hidden="1">
      <c r="A136" s="183"/>
      <c r="B136" s="181" t="str">
        <f t="shared" si="18"/>
        <v>Application delivery agility</v>
      </c>
      <c r="C136" s="181" t="str">
        <f t="shared" si="15"/>
        <v>Tech - Application delivery agility</v>
      </c>
      <c r="D136" s="181" t="s">
        <v>726</v>
      </c>
      <c r="E136" s="398"/>
      <c r="F136" s="398"/>
      <c r="G136" s="398"/>
      <c r="H136" s="398"/>
      <c r="I136" s="398"/>
      <c r="J136" s="398"/>
      <c r="K136" s="398"/>
      <c r="L136" s="398"/>
      <c r="M136" s="398"/>
      <c r="N136" s="398"/>
      <c r="O136" s="398"/>
      <c r="P136" s="398"/>
      <c r="Q136" s="398"/>
      <c r="R136" s="398"/>
      <c r="S136" s="398"/>
      <c r="T136" s="398"/>
      <c r="U136" s="398"/>
      <c r="V136" s="398"/>
      <c r="W136" s="398"/>
      <c r="X136" s="398"/>
      <c r="Y136" s="398"/>
      <c r="Z136" s="398"/>
      <c r="AA136" s="398"/>
      <c r="AB136" s="398"/>
      <c r="AC136" s="398"/>
      <c r="AD136" s="398"/>
      <c r="AE136" s="398"/>
      <c r="AF136" s="398"/>
      <c r="AG136" s="398"/>
      <c r="AH136" s="398"/>
      <c r="AI136" s="398"/>
      <c r="AJ136" s="398"/>
      <c r="AK136" s="398"/>
      <c r="AL136" s="398"/>
      <c r="AM136" s="398"/>
      <c r="AN136" s="398"/>
      <c r="AO136" s="398"/>
      <c r="AP136" s="398"/>
      <c r="AQ136" s="398"/>
      <c r="AR136" s="398"/>
      <c r="AS136" s="398"/>
      <c r="AT136" s="398"/>
      <c r="AU136" s="398"/>
    </row>
    <row r="137" spans="1:47" hidden="1">
      <c r="A137" s="183"/>
      <c r="B137" s="181" t="str">
        <f t="shared" si="18"/>
        <v>User computing experience satisfaction</v>
      </c>
      <c r="C137" s="181" t="str">
        <f t="shared" si="15"/>
        <v>Tech - User computing experience satisfaction</v>
      </c>
      <c r="D137" s="181" t="s">
        <v>726</v>
      </c>
      <c r="E137" s="398"/>
      <c r="F137" s="398"/>
      <c r="G137" s="398"/>
      <c r="H137" s="398"/>
      <c r="I137" s="398"/>
      <c r="J137" s="398"/>
      <c r="K137" s="398"/>
      <c r="L137" s="398"/>
      <c r="M137" s="398"/>
      <c r="N137" s="398"/>
      <c r="O137" s="398"/>
      <c r="P137" s="398"/>
      <c r="Q137" s="398"/>
      <c r="R137" s="398"/>
      <c r="S137" s="398"/>
      <c r="T137" s="398"/>
      <c r="U137" s="398"/>
      <c r="V137" s="398"/>
      <c r="W137" s="398"/>
      <c r="X137" s="398"/>
      <c r="Y137" s="398"/>
      <c r="Z137" s="398"/>
      <c r="AA137" s="398"/>
      <c r="AB137" s="398"/>
      <c r="AC137" s="398"/>
      <c r="AD137" s="398"/>
      <c r="AE137" s="398"/>
      <c r="AF137" s="398"/>
      <c r="AG137" s="398"/>
      <c r="AH137" s="398"/>
      <c r="AI137" s="398"/>
      <c r="AJ137" s="398"/>
      <c r="AK137" s="398"/>
      <c r="AL137" s="398"/>
      <c r="AM137" s="398"/>
      <c r="AN137" s="398"/>
      <c r="AO137" s="398"/>
      <c r="AP137" s="398"/>
      <c r="AQ137" s="398"/>
      <c r="AR137" s="398"/>
      <c r="AS137" s="398"/>
      <c r="AT137" s="398"/>
      <c r="AU137" s="398"/>
    </row>
    <row r="138" spans="1:47" hidden="1">
      <c r="A138" s="183"/>
      <c r="B138" s="181" t="str">
        <f t="shared" si="18"/>
        <v>Security</v>
      </c>
      <c r="C138" s="181" t="str">
        <f t="shared" si="15"/>
        <v>Tech - Security</v>
      </c>
      <c r="D138" s="181" t="s">
        <v>726</v>
      </c>
      <c r="E138" s="398"/>
      <c r="F138" s="398"/>
      <c r="G138" s="398"/>
      <c r="H138" s="398"/>
      <c r="I138" s="398"/>
      <c r="J138" s="398"/>
      <c r="K138" s="398"/>
      <c r="L138" s="398"/>
      <c r="M138" s="398"/>
      <c r="N138" s="398"/>
      <c r="O138" s="398"/>
      <c r="P138" s="398"/>
      <c r="Q138" s="398"/>
      <c r="R138" s="398"/>
      <c r="S138" s="398"/>
      <c r="T138" s="398"/>
      <c r="U138" s="398"/>
      <c r="V138" s="398"/>
      <c r="W138" s="398"/>
      <c r="X138" s="398"/>
      <c r="Y138" s="398"/>
      <c r="Z138" s="398"/>
      <c r="AA138" s="398"/>
      <c r="AB138" s="398"/>
      <c r="AC138" s="398"/>
      <c r="AD138" s="398"/>
      <c r="AE138" s="398"/>
      <c r="AF138" s="398"/>
      <c r="AG138" s="398"/>
      <c r="AH138" s="398"/>
      <c r="AI138" s="398"/>
      <c r="AJ138" s="398"/>
      <c r="AK138" s="398"/>
      <c r="AL138" s="398"/>
      <c r="AM138" s="398"/>
      <c r="AN138" s="398"/>
      <c r="AO138" s="398"/>
      <c r="AP138" s="398"/>
      <c r="AQ138" s="398"/>
      <c r="AR138" s="398"/>
      <c r="AS138" s="398"/>
      <c r="AT138" s="398"/>
      <c r="AU138" s="398"/>
    </row>
    <row r="139" spans="1:47" hidden="1">
      <c r="A139" s="641"/>
      <c r="B139" s="641"/>
      <c r="C139" s="641"/>
      <c r="D139" s="641"/>
      <c r="E139" s="641"/>
      <c r="F139" s="641"/>
      <c r="G139" s="641"/>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641"/>
      <c r="AL139" s="641"/>
      <c r="AM139" s="641"/>
      <c r="AN139" s="641"/>
      <c r="AO139" s="641"/>
      <c r="AP139" s="641"/>
      <c r="AQ139" s="641"/>
      <c r="AR139" s="641"/>
      <c r="AS139" s="641"/>
      <c r="AT139" s="641"/>
      <c r="AU139" s="641"/>
    </row>
  </sheetData>
  <sheetProtection formatCells="0" selectLockedCells="1"/>
  <mergeCells count="15">
    <mergeCell ref="B3:K3"/>
    <mergeCell ref="B38:K38"/>
    <mergeCell ref="B70:D70"/>
    <mergeCell ref="E70:I70"/>
    <mergeCell ref="V70:AA70"/>
    <mergeCell ref="D4:E5"/>
    <mergeCell ref="F5:G5"/>
    <mergeCell ref="F4:J4"/>
    <mergeCell ref="H5:J5"/>
    <mergeCell ref="B41:E41"/>
    <mergeCell ref="F39:H39"/>
    <mergeCell ref="B42:E42"/>
    <mergeCell ref="B43:E43"/>
    <mergeCell ref="B44:E44"/>
    <mergeCell ref="B45:E45"/>
  </mergeCells>
  <dataValidations count="1">
    <dataValidation type="list" allowBlank="1" showInputMessage="1" showErrorMessage="1" sqref="E70:I70" xr:uid="{00000000-0002-0000-0800-000000000000}">
      <formula1>KPIList</formula1>
    </dataValidation>
  </dataValidations>
  <hyperlinks>
    <hyperlink ref="B97" r:id="rId1" display="© Copyright, 2006-2009, Hall Consulting &amp; Research LLC, All Rights Reserved.  http://hallcr.com" xr:uid="{00000000-0004-0000-0800-000000000000}"/>
  </hyperlinks>
  <pageMargins left="0.7" right="0.7" top="0.75" bottom="0.75" header="0.3" footer="0.3"/>
  <pageSetup scale="60" fitToHeight="100" orientation="portrait" horizontalDpi="300" verticalDpi="300" r:id="rId2"/>
  <headerFooter>
    <oddHeader>&amp;CAnalysisPlace.com   IT Project ROI and Business Case Toolkit</oddHeader>
    <oddFooter>&amp;L&amp;A&amp;C&amp;F&amp;R&amp;P of &amp;N</oddFooter>
  </headerFooter>
  <rowBreaks count="1" manualBreakCount="1">
    <brk id="36" max="11"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54CFB8EE2730499D5FB67EC9F8C370" ma:contentTypeVersion="0" ma:contentTypeDescription="Create a new document." ma:contentTypeScope="" ma:versionID="9fecfd48937b3e54ed09da52f020101c">
  <xsd:schema xmlns:xsd="http://www.w3.org/2001/XMLSchema" xmlns:xs="http://www.w3.org/2001/XMLSchema" xmlns:p="http://schemas.microsoft.com/office/2006/metadata/properties" targetNamespace="http://schemas.microsoft.com/office/2006/metadata/properties" ma:root="true" ma:fieldsID="31d5eec3c12ee2e8127422d567928f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7CD8FF-22CE-434E-9004-725734CF9858}"/>
</file>

<file path=customXml/itemProps2.xml><?xml version="1.0" encoding="utf-8"?>
<ds:datastoreItem xmlns:ds="http://schemas.openxmlformats.org/officeDocument/2006/customXml" ds:itemID="{05A308B5-4165-45ED-B472-3E0F35F516C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Business Value ROI Workbook for IT Projects</dc:title>
  <dc:subject>Business value</dc:subject>
  <dc:creator>Andy Hall</dc:creator>
  <cp:keywords>Business value, ROI, costs, benefits, model, calculator, IT, software</cp:keywords>
  <dc:description/>
  <cp:lastModifiedBy>Andy Hall</cp:lastModifiedBy>
  <cp:revision/>
  <dcterms:created xsi:type="dcterms:W3CDTF">2007-07-27T16:07:12Z</dcterms:created>
  <dcterms:modified xsi:type="dcterms:W3CDTF">2018-06-13T18:35:46Z</dcterms:modified>
  <cp:category>Business Value</cp:category>
  <cp:contentStatus/>
</cp:coreProperties>
</file>